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" sheetId="8" r:id="rId8"/>
  </sheets>
  <externalReferences>
    <externalReference r:id="rId11"/>
  </externalReferences>
  <definedNames>
    <definedName name="_xlnm.Print_Area" localSheetId="7">'січень'!$A$1:$R$87</definedName>
  </definedNames>
  <calcPr fullCalcOnLoad="1"/>
</workbook>
</file>

<file path=xl/sharedStrings.xml><?xml version="1.0" encoding="utf-8"?>
<sst xmlns="http://schemas.openxmlformats.org/spreadsheetml/2006/main" count="1024" uniqueCount="187">
  <si>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</si>
  <si>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</si>
  <si>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</si>
  <si>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</si>
  <si>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</si>
  <si>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</si>
  <si>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</si>
  <si>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</si>
  <si>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</si>
  <si>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</si>
  <si>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</si>
  <si>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</si>
  <si>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</si>
  <si>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</si>
  <si>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</si>
  <si>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</si>
  <si>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</si>
  <si>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</si>
  <si>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</si>
  <si>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</si>
  <si>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</si>
  <si>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</si>
  <si>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</si>
  <si>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</si>
  <si>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</si>
  <si>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</si>
  <si>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</si>
  <si>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</si>
  <si>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</si>
  <si>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</si>
  <si>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</si>
  <si>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</si>
  <si>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</si>
  <si>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</si>
  <si>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</si>
  <si>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</si>
  <si>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</si>
  <si>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</si>
  <si>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</si>
  <si>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</si>
  <si>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</si>
  <si>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</si>
  <si>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</si>
  <si>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</si>
  <si>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</si>
  <si>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</si>
  <si>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</si>
  <si>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</si>
  <si>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</si>
  <si>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</si>
  <si>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</si>
  <si>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</si>
  <si>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</si>
  <si>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</si>
  <si>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</si>
  <si>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</si>
  <si>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</si>
  <si>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</si>
  <si>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</si>
  <si>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</si>
  <si>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</si>
  <si>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</si>
  <si>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</si>
  <si>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</si>
  <si>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</si>
  <si>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</si>
  <si>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</si>
  <si>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</si>
  <si>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</si>
  <si>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</si>
  <si>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</si>
  <si>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</si>
  <si>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</si>
  <si>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</si>
  <si>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</si>
  <si>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</si>
  <si>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</si>
  <si>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</si>
  <si>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</si>
  <si>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</si>
  <si>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</si>
  <si>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</si>
  <si>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</si>
  <si>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</si>
  <si>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</si>
  <si>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</si>
  <si>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</si>
  <si>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</si>
  <si>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</si>
  <si>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</si>
  <si>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</si>
  <si>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</si>
  <si>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</si>
  <si>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</si>
  <si>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</si>
  <si>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</si>
  <si>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</si>
  <si>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</si>
  <si>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</si>
  <si>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</si>
  <si>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</si>
  <si>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</si>
  <si>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</si>
  <si>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</si>
  <si>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</si>
  <si>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</si>
  <si>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</si>
  <si>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</si>
  <si>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</si>
  <si>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</si>
  <si>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</si>
  <si>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</si>
  <si>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</si>
  <si>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</si>
  <si>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</si>
  <si>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</si>
  <si>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</si>
  <si>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</si>
  <si>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</si>
  <si>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</si>
  <si>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</si>
  <si>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</si>
  <si>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</si>
  <si>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</si>
  <si>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</si>
  <si>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</si>
  <si>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</si>
  <si>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</si>
  <si>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</si>
  <si>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</si>
  <si>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</si>
  <si>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</si>
  <si>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</si>
  <si>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</si>
  <si>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</si>
  <si>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</si>
  <si>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</si>
  <si>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</si>
  <si>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</si>
  <si>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</si>
  <si>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</si>
  <si>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</si>
  <si>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</si>
  <si>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</si>
  <si>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</si>
  <si>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</si>
  <si>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</si>
  <si>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</si>
  <si>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</si>
  <si>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</si>
  <si>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</si>
  <si>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</si>
  <si>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</si>
  <si>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</si>
  <si>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</si>
  <si>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</si>
  <si>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</si>
  <si>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</si>
  <si>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</si>
  <si>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</si>
  <si>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</si>
  <si>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</si>
  <si>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</si>
  <si>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</si>
  <si>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</si>
  <si>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</si>
  <si>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</si>
  <si>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</si>
  <si>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</si>
  <si>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</si>
  <si>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</si>
  <si>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</si>
  <si>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</si>
  <si>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</si>
  <si>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</si>
  <si>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</si>
  <si>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</si>
  <si>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</si>
  <si>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</si>
  <si>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</si>
  <si>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</si>
  <si>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</si>
  <si>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</si>
  <si>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</si>
  <si>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</si>
  <si>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06.07.2016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</si>
  <si>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06.07.16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</si>
</sst>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7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6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7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7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8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0">
        <row r="6">
          <cell r="G6">
            <v>2.22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2" zoomScaleNormal="82" zoomScalePageLayoutView="0" workbookViewId="0" topLeftCell="B1">
      <pane xSplit="2" ySplit="8" topLeftCell="D8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0" sqref="D9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185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71"/>
      <c r="C2" s="271"/>
      <c r="D2" s="271"/>
      <c r="E2" s="2"/>
      <c r="F2" s="122"/>
      <c r="G2" s="2"/>
      <c r="H2" s="2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183</v>
      </c>
      <c r="N3" s="281" t="s">
        <v>184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179</v>
      </c>
      <c r="F4" s="264" t="s">
        <v>34</v>
      </c>
      <c r="G4" s="258" t="s">
        <v>180</v>
      </c>
      <c r="H4" s="266" t="s">
        <v>181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186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67.5" customHeight="1">
      <c r="A5" s="273"/>
      <c r="B5" s="274"/>
      <c r="C5" s="275"/>
      <c r="D5" s="276"/>
      <c r="E5" s="283"/>
      <c r="F5" s="265"/>
      <c r="G5" s="259"/>
      <c r="H5" s="267"/>
      <c r="I5" s="259"/>
      <c r="J5" s="267"/>
      <c r="K5" s="261" t="s">
        <v>182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499536.28</v>
      </c>
      <c r="F8" s="191">
        <f>F9+F15+F18+F19+F20+F36+F17</f>
        <v>463250.49999999994</v>
      </c>
      <c r="G8" s="191">
        <f aca="true" t="shared" si="0" ref="G8:G36">F8-E8</f>
        <v>-36285.780000000086</v>
      </c>
      <c r="H8" s="192">
        <f>F8/E8*100</f>
        <v>92.73610717523859</v>
      </c>
      <c r="I8" s="193">
        <f>F8-D8</f>
        <v>-377799.50000000006</v>
      </c>
      <c r="J8" s="193">
        <f>F8/D8*100</f>
        <v>55.08001902383924</v>
      </c>
      <c r="K8" s="191">
        <f>F8-366772.22</f>
        <v>96478.27999999997</v>
      </c>
      <c r="L8" s="191">
        <f>F8/366722.22*100</f>
        <v>126.32190653732407</v>
      </c>
      <c r="M8" s="191">
        <f>M9+M15+M18+M19+M20+M17</f>
        <v>79300.50000000003</v>
      </c>
      <c r="N8" s="191">
        <f>N9+N15+N18+N19+N20+N17</f>
        <v>-2260.9300000000076</v>
      </c>
      <c r="O8" s="191">
        <f>N8-M8</f>
        <v>-81561.43000000004</v>
      </c>
      <c r="P8" s="191">
        <f>N8/M8*100</f>
        <v>-2.8510917333434302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263724.27</v>
      </c>
      <c r="F9" s="196">
        <v>256915.1</v>
      </c>
      <c r="G9" s="190">
        <f t="shared" si="0"/>
        <v>-6809.170000000013</v>
      </c>
      <c r="H9" s="197">
        <f>F9/E9*100</f>
        <v>97.41807229194339</v>
      </c>
      <c r="I9" s="198">
        <f>F9-D9</f>
        <v>-202784.9</v>
      </c>
      <c r="J9" s="198">
        <f>F9/D9*100</f>
        <v>55.88755710245813</v>
      </c>
      <c r="K9" s="199">
        <f>F9-203434.44</f>
        <v>53480.66</v>
      </c>
      <c r="L9" s="199">
        <f>F9/203434.44*100</f>
        <v>126.28889189067496</v>
      </c>
      <c r="M9" s="197">
        <f>E9-червень!E9</f>
        <v>39820.00000000003</v>
      </c>
      <c r="N9" s="200">
        <f>F9-червень!F9</f>
        <v>-4527.440000000002</v>
      </c>
      <c r="O9" s="201">
        <f>N9-M9</f>
        <v>-44347.44000000003</v>
      </c>
      <c r="P9" s="198">
        <f>N9/M9*100</f>
        <v>-11.369763937719735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227989.85</v>
      </c>
      <c r="G10" s="109">
        <f t="shared" si="0"/>
        <v>-6025.989999999991</v>
      </c>
      <c r="H10" s="32">
        <f aca="true" t="shared" si="1" ref="H10:H35">F10/E10*100</f>
        <v>97.42496490835835</v>
      </c>
      <c r="I10" s="110">
        <f aca="true" t="shared" si="2" ref="I10:I36">F10-D10</f>
        <v>-183450.15</v>
      </c>
      <c r="J10" s="110">
        <f aca="true" t="shared" si="3" ref="J10:J35">F10/D10*100</f>
        <v>55.41266041221077</v>
      </c>
      <c r="K10" s="112">
        <f>F10-180069.97</f>
        <v>47919.880000000005</v>
      </c>
      <c r="L10" s="112">
        <f>F10/180069.97*100</f>
        <v>126.61181095326444</v>
      </c>
      <c r="M10" s="111">
        <f>E10-червень!E10</f>
        <v>34720</v>
      </c>
      <c r="N10" s="179">
        <f>F10-червень!F10</f>
        <v>-3278.5599999999977</v>
      </c>
      <c r="O10" s="112">
        <f aca="true" t="shared" si="4" ref="O10:O36">N10-M10</f>
        <v>-37998.56</v>
      </c>
      <c r="P10" s="198">
        <f aca="true" t="shared" si="5" ref="P10:P16">N10/M10*100</f>
        <v>-9.442857142857136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18032.25</v>
      </c>
      <c r="G11" s="109">
        <f t="shared" si="0"/>
        <v>2117.3099999999995</v>
      </c>
      <c r="H11" s="32">
        <f t="shared" si="1"/>
        <v>113.30391443511567</v>
      </c>
      <c r="I11" s="110">
        <f t="shared" si="2"/>
        <v>-4967.75</v>
      </c>
      <c r="J11" s="110">
        <f t="shared" si="3"/>
        <v>78.40108695652174</v>
      </c>
      <c r="K11" s="112">
        <f>F11-10791.39</f>
        <v>7240.860000000001</v>
      </c>
      <c r="L11" s="112">
        <f>F11/10791.39*100</f>
        <v>167.09849240922625</v>
      </c>
      <c r="M11" s="111">
        <f>E11-червень!E11</f>
        <v>1750</v>
      </c>
      <c r="N11" s="179">
        <f>F11-червень!F11</f>
        <v>0</v>
      </c>
      <c r="O11" s="112">
        <f t="shared" si="4"/>
        <v>-1750</v>
      </c>
      <c r="P11" s="198">
        <f t="shared" si="5"/>
        <v>0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5319.77</v>
      </c>
      <c r="G12" s="109">
        <f t="shared" si="0"/>
        <v>2049.1600000000003</v>
      </c>
      <c r="H12" s="32">
        <f t="shared" si="1"/>
        <v>162.65375572140977</v>
      </c>
      <c r="I12" s="110">
        <f t="shared" si="2"/>
        <v>-1180.2299999999996</v>
      </c>
      <c r="J12" s="110">
        <f t="shared" si="3"/>
        <v>81.84261538461539</v>
      </c>
      <c r="K12" s="112">
        <f>F12-3052.92</f>
        <v>2266.8500000000004</v>
      </c>
      <c r="L12" s="112">
        <f>F12/3052.92*100</f>
        <v>174.2518637894213</v>
      </c>
      <c r="M12" s="111">
        <f>E12-червень!E12</f>
        <v>550</v>
      </c>
      <c r="N12" s="179">
        <f>F12-червень!F12</f>
        <v>31.110000000000582</v>
      </c>
      <c r="O12" s="112">
        <f t="shared" si="4"/>
        <v>-518.8899999999994</v>
      </c>
      <c r="P12" s="198">
        <f t="shared" si="5"/>
        <v>5.656363636363742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4472.08</v>
      </c>
      <c r="G13" s="109">
        <f t="shared" si="0"/>
        <v>-2292.76</v>
      </c>
      <c r="H13" s="32">
        <f t="shared" si="1"/>
        <v>66.10769803868236</v>
      </c>
      <c r="I13" s="110">
        <f t="shared" si="2"/>
        <v>-7927.92</v>
      </c>
      <c r="J13" s="110">
        <f t="shared" si="3"/>
        <v>36.06516129032258</v>
      </c>
      <c r="K13" s="112">
        <f>F13-4060.02</f>
        <v>412.05999999999995</v>
      </c>
      <c r="L13" s="112">
        <f>F13/4060.02*100</f>
        <v>110.14921108763012</v>
      </c>
      <c r="M13" s="111">
        <f>E13-червень!E13</f>
        <v>2180</v>
      </c>
      <c r="N13" s="179">
        <f>F13-червень!F13</f>
        <v>19.470000000000255</v>
      </c>
      <c r="O13" s="112">
        <f t="shared" si="4"/>
        <v>-2160.5299999999997</v>
      </c>
      <c r="P13" s="198">
        <f t="shared" si="5"/>
        <v>0.8931192660550575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3758.04</v>
      </c>
      <c r="F14" s="171">
        <v>2400.61</v>
      </c>
      <c r="G14" s="109">
        <f t="shared" si="0"/>
        <v>-1357.4299999999998</v>
      </c>
      <c r="H14" s="32">
        <f t="shared" si="1"/>
        <v>63.87930942725464</v>
      </c>
      <c r="I14" s="110">
        <f t="shared" si="2"/>
        <v>-3959.39</v>
      </c>
      <c r="J14" s="110">
        <f t="shared" si="3"/>
        <v>37.745440251572326</v>
      </c>
      <c r="K14" s="112">
        <f>F14-5460.12</f>
        <v>-3059.5099999999998</v>
      </c>
      <c r="L14" s="112">
        <f>F14/5460.12*100</f>
        <v>43.96624982601116</v>
      </c>
      <c r="M14" s="111">
        <f>E14-червень!E14</f>
        <v>620</v>
      </c>
      <c r="N14" s="179">
        <f>F14-червень!F14</f>
        <v>0</v>
      </c>
      <c r="O14" s="112">
        <f t="shared" si="4"/>
        <v>-620</v>
      </c>
      <c r="P14" s="198">
        <f t="shared" si="5"/>
        <v>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E15-червень!E15</f>
        <v>10</v>
      </c>
      <c r="N15" s="200">
        <f>F15-червень!F15</f>
        <v>0</v>
      </c>
      <c r="O15" s="201">
        <f t="shared" si="4"/>
        <v>-10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E16-червень!E16</f>
        <v>0</v>
      </c>
      <c r="N16" s="200">
        <f>F16-червень!F16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E17-червень!E17</f>
        <v>0</v>
      </c>
      <c r="N17" s="200">
        <f>F17-червень!F17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E18-червень!E18</f>
        <v>0</v>
      </c>
      <c r="N18" s="200">
        <f>F18-червень!F18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44523.1</v>
      </c>
      <c r="G19" s="190">
        <f t="shared" si="0"/>
        <v>-14237.300000000003</v>
      </c>
      <c r="H19" s="197">
        <f t="shared" si="1"/>
        <v>75.77058699396191</v>
      </c>
      <c r="I19" s="198">
        <f t="shared" si="2"/>
        <v>-65376.9</v>
      </c>
      <c r="J19" s="198">
        <f t="shared" si="3"/>
        <v>40.51237488626023</v>
      </c>
      <c r="K19" s="209">
        <f>F19-30116.49</f>
        <v>14406.609999999997</v>
      </c>
      <c r="L19" s="209">
        <f>F19/30116.49*100</f>
        <v>147.8362850385287</v>
      </c>
      <c r="M19" s="197">
        <f>E19-червень!E19</f>
        <v>10900</v>
      </c>
      <c r="N19" s="200">
        <f>F19-червень!F19</f>
        <v>11.080000000001746</v>
      </c>
      <c r="O19" s="201">
        <f t="shared" si="4"/>
        <v>-10888.919999999998</v>
      </c>
      <c r="P19" s="198">
        <f aca="true" t="shared" si="6" ref="P19:P24">N19/M19*100</f>
        <v>0.10165137614680503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176791.61</v>
      </c>
      <c r="F20" s="210">
        <f>F21+F29+F31+F30</f>
        <v>161397.09</v>
      </c>
      <c r="G20" s="190">
        <f t="shared" si="0"/>
        <v>-15394.51999999999</v>
      </c>
      <c r="H20" s="197">
        <f t="shared" si="1"/>
        <v>91.29227908496337</v>
      </c>
      <c r="I20" s="198">
        <f t="shared" si="2"/>
        <v>-109542.91</v>
      </c>
      <c r="J20" s="198">
        <f t="shared" si="3"/>
        <v>59.569310548460905</v>
      </c>
      <c r="K20" s="198">
        <f>F20-100444.36</f>
        <v>60952.729999999996</v>
      </c>
      <c r="L20" s="198">
        <f>F20/100444.36*100</f>
        <v>160.6830786716148</v>
      </c>
      <c r="M20" s="197">
        <f>M21+M29+M30+M31</f>
        <v>28570.5</v>
      </c>
      <c r="N20" s="200">
        <f>F20-червень!F20</f>
        <v>2255.429999999993</v>
      </c>
      <c r="O20" s="201">
        <f t="shared" si="4"/>
        <v>-26315.070000000007</v>
      </c>
      <c r="P20" s="198">
        <f t="shared" si="6"/>
        <v>7.8942615635007884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96608.66</v>
      </c>
      <c r="F21" s="211">
        <f>F22+F25+F26</f>
        <v>86846.05</v>
      </c>
      <c r="G21" s="190">
        <f t="shared" si="0"/>
        <v>-9762.61</v>
      </c>
      <c r="H21" s="197">
        <f t="shared" si="1"/>
        <v>89.89468438957749</v>
      </c>
      <c r="I21" s="198">
        <f t="shared" si="2"/>
        <v>-74553.95</v>
      </c>
      <c r="J21" s="198">
        <f t="shared" si="3"/>
        <v>53.80796158612144</v>
      </c>
      <c r="K21" s="198">
        <f>F21-54757.32</f>
        <v>32088.730000000003</v>
      </c>
      <c r="L21" s="198">
        <f>F21/54757.32*100</f>
        <v>158.60171754205646</v>
      </c>
      <c r="M21" s="197">
        <f>M22+M25+M26</f>
        <v>18465.3</v>
      </c>
      <c r="N21" s="200">
        <f>F21-червень!F21</f>
        <v>851.6600000000035</v>
      </c>
      <c r="O21" s="201">
        <f t="shared" si="4"/>
        <v>-17613.639999999996</v>
      </c>
      <c r="P21" s="198">
        <f t="shared" si="6"/>
        <v>4.612218593794867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9391.7</v>
      </c>
      <c r="G22" s="212">
        <f t="shared" si="0"/>
        <v>-3199.8999999999996</v>
      </c>
      <c r="H22" s="214">
        <f t="shared" si="1"/>
        <v>74.58702627148259</v>
      </c>
      <c r="I22" s="215">
        <f t="shared" si="2"/>
        <v>-9108.3</v>
      </c>
      <c r="J22" s="215">
        <f t="shared" si="3"/>
        <v>50.765945945945944</v>
      </c>
      <c r="K22" s="216">
        <f>F22-4957.1</f>
        <v>4434.6</v>
      </c>
      <c r="L22" s="216">
        <f>F22/4957.1*100</f>
        <v>189.4595630509774</v>
      </c>
      <c r="M22" s="214">
        <f>E22-червень!E22</f>
        <v>3980</v>
      </c>
      <c r="N22" s="217">
        <f>F22-червень!F22</f>
        <v>158.11000000000058</v>
      </c>
      <c r="O22" s="218">
        <f t="shared" si="4"/>
        <v>-3821.8899999999994</v>
      </c>
      <c r="P22" s="215">
        <f t="shared" si="6"/>
        <v>3.972613065326648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346.97</v>
      </c>
      <c r="G23" s="241">
        <f t="shared" si="0"/>
        <v>-342.13</v>
      </c>
      <c r="H23" s="242">
        <f t="shared" si="1"/>
        <v>50.35118270207517</v>
      </c>
      <c r="I23" s="243">
        <f t="shared" si="2"/>
        <v>-1653.03</v>
      </c>
      <c r="J23" s="243">
        <f t="shared" si="3"/>
        <v>17.3485</v>
      </c>
      <c r="K23" s="244">
        <f>F23-284.18</f>
        <v>62.79000000000002</v>
      </c>
      <c r="L23" s="244">
        <f>F23/284.18*100</f>
        <v>122.09515096065874</v>
      </c>
      <c r="M23" s="239">
        <f>E23-червень!E23</f>
        <v>300</v>
      </c>
      <c r="N23" s="239">
        <f>F23-червень!F23</f>
        <v>4.8700000000000045</v>
      </c>
      <c r="O23" s="240">
        <f t="shared" si="4"/>
        <v>-295.13</v>
      </c>
      <c r="P23" s="240">
        <f t="shared" si="6"/>
        <v>1.6233333333333348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8917.92</v>
      </c>
      <c r="G24" s="241">
        <f t="shared" si="0"/>
        <v>-2984.58</v>
      </c>
      <c r="H24" s="242">
        <f t="shared" si="1"/>
        <v>74.92476370510397</v>
      </c>
      <c r="I24" s="243">
        <f t="shared" si="2"/>
        <v>-7582.08</v>
      </c>
      <c r="J24" s="243">
        <f t="shared" si="3"/>
        <v>54.047999999999995</v>
      </c>
      <c r="K24" s="244">
        <f>F24-4672.92</f>
        <v>4245</v>
      </c>
      <c r="L24" s="244">
        <f>F24/4672.92*100</f>
        <v>190.84255668832336</v>
      </c>
      <c r="M24" s="239">
        <f>E24-червень!E24</f>
        <v>3680</v>
      </c>
      <c r="N24" s="239">
        <f>F24-червень!F24</f>
        <v>26.43000000000029</v>
      </c>
      <c r="O24" s="240">
        <f t="shared" si="4"/>
        <v>-3653.5699999999997</v>
      </c>
      <c r="P24" s="240">
        <f t="shared" si="6"/>
        <v>0.7182065217391383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435.05</v>
      </c>
      <c r="G25" s="212">
        <f t="shared" si="0"/>
        <v>-258.09</v>
      </c>
      <c r="H25" s="214">
        <f t="shared" si="1"/>
        <v>62.765097960008084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E25-червень!E25</f>
        <v>416.3</v>
      </c>
      <c r="N25" s="217">
        <f>F25-червень!F25</f>
        <v>0</v>
      </c>
      <c r="O25" s="218">
        <f t="shared" si="4"/>
        <v>-416.3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83323.92</v>
      </c>
      <c r="F26" s="213">
        <v>77019.3</v>
      </c>
      <c r="G26" s="212">
        <f t="shared" si="0"/>
        <v>-6304.619999999995</v>
      </c>
      <c r="H26" s="214">
        <f t="shared" si="1"/>
        <v>92.43360129960281</v>
      </c>
      <c r="I26" s="215">
        <f t="shared" si="2"/>
        <v>-63080.7</v>
      </c>
      <c r="J26" s="215">
        <f t="shared" si="3"/>
        <v>54.974518201284795</v>
      </c>
      <c r="K26" s="216">
        <f>F26-49589.53</f>
        <v>27429.770000000004</v>
      </c>
      <c r="L26" s="216">
        <f>F26/49589.53*100</f>
        <v>155.3136317283104</v>
      </c>
      <c r="M26" s="214">
        <f>E26-червень!E26</f>
        <v>14069</v>
      </c>
      <c r="N26" s="217">
        <f>F26-червень!F26</f>
        <v>693.5500000000029</v>
      </c>
      <c r="O26" s="218">
        <f t="shared" si="4"/>
        <v>-13375.449999999997</v>
      </c>
      <c r="P26" s="215">
        <f>N26/M26*100</f>
        <v>4.929632525410497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23964.75</v>
      </c>
      <c r="F27" s="203">
        <v>23828.98</v>
      </c>
      <c r="G27" s="241">
        <f t="shared" si="0"/>
        <v>-135.77000000000044</v>
      </c>
      <c r="H27" s="242">
        <f t="shared" si="1"/>
        <v>99.433459560396</v>
      </c>
      <c r="I27" s="243">
        <f t="shared" si="2"/>
        <v>-14228.02</v>
      </c>
      <c r="J27" s="243">
        <f t="shared" si="3"/>
        <v>62.613921223428015</v>
      </c>
      <c r="K27" s="244">
        <f>F27-12926</f>
        <v>10902.98</v>
      </c>
      <c r="L27" s="244">
        <f>F27/12926*100</f>
        <v>184.3492186291196</v>
      </c>
      <c r="M27" s="239">
        <f>E27-червень!E27</f>
        <v>4535</v>
      </c>
      <c r="N27" s="239">
        <f>F27-червень!F27</f>
        <v>92.13000000000102</v>
      </c>
      <c r="O27" s="240">
        <f t="shared" si="4"/>
        <v>-4442.869999999999</v>
      </c>
      <c r="P27" s="240">
        <f>N27/M27*100</f>
        <v>2.031532524807079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59359.17</v>
      </c>
      <c r="F28" s="203">
        <v>52773.91</v>
      </c>
      <c r="G28" s="241">
        <f t="shared" si="0"/>
        <v>-6585.259999999995</v>
      </c>
      <c r="H28" s="242">
        <f t="shared" si="1"/>
        <v>88.90607803309919</v>
      </c>
      <c r="I28" s="243">
        <f t="shared" si="2"/>
        <v>42730.91</v>
      </c>
      <c r="J28" s="243">
        <f t="shared" si="3"/>
        <v>525.4795379866574</v>
      </c>
      <c r="K28" s="244">
        <f>F28-36663.53</f>
        <v>16110.380000000005</v>
      </c>
      <c r="L28" s="244">
        <f>F28/36663.53*100</f>
        <v>143.94115896641705</v>
      </c>
      <c r="M28" s="239">
        <f>E28-червень!E28</f>
        <v>9534</v>
      </c>
      <c r="N28" s="239">
        <f>F28-червень!F28</f>
        <v>185.02000000000407</v>
      </c>
      <c r="O28" s="240">
        <f t="shared" si="4"/>
        <v>-9348.979999999996</v>
      </c>
      <c r="P28" s="240">
        <f>N28/M28*100</f>
        <v>1.9406335221313624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40.91</v>
      </c>
      <c r="F29" s="196">
        <v>55.62</v>
      </c>
      <c r="G29" s="190">
        <f t="shared" si="0"/>
        <v>14.71</v>
      </c>
      <c r="H29" s="197">
        <f t="shared" si="1"/>
        <v>135.95697873380593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E29-червень!E29</f>
        <v>5.199999999999996</v>
      </c>
      <c r="N29" s="200">
        <f>F29-червень!F29</f>
        <v>0</v>
      </c>
      <c r="O29" s="201">
        <f t="shared" si="4"/>
        <v>-5.199999999999996</v>
      </c>
      <c r="P29" s="198">
        <f>N29/M29*100</f>
        <v>0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-126.28</v>
      </c>
      <c r="G30" s="190">
        <f t="shared" si="0"/>
        <v>-126.28</v>
      </c>
      <c r="H30" s="197"/>
      <c r="I30" s="198">
        <f t="shared" si="2"/>
        <v>-126.28</v>
      </c>
      <c r="J30" s="198"/>
      <c r="K30" s="198">
        <f>F30-(-403.36)</f>
        <v>277.08000000000004</v>
      </c>
      <c r="L30" s="198">
        <f>F30/(-403.36)*100</f>
        <v>31.307021023403408</v>
      </c>
      <c r="M30" s="197">
        <f>E30-червень!E30</f>
        <v>0</v>
      </c>
      <c r="N30" s="200">
        <f>F30-червень!F30</f>
        <v>-1.2399999999999949</v>
      </c>
      <c r="O30" s="201">
        <f t="shared" si="4"/>
        <v>-1.2399999999999949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80142.04</v>
      </c>
      <c r="F31" s="203">
        <v>74621.7</v>
      </c>
      <c r="G31" s="202">
        <f t="shared" si="0"/>
        <v>-5520.3399999999965</v>
      </c>
      <c r="H31" s="204">
        <f t="shared" si="1"/>
        <v>93.11180499023983</v>
      </c>
      <c r="I31" s="205">
        <f t="shared" si="2"/>
        <v>-34841.3</v>
      </c>
      <c r="J31" s="205">
        <f t="shared" si="3"/>
        <v>68.17070608333408</v>
      </c>
      <c r="K31" s="219">
        <f>F31-46052.97</f>
        <v>28568.729999999996</v>
      </c>
      <c r="L31" s="219">
        <f>F31/46052.97*100</f>
        <v>162.0345007064691</v>
      </c>
      <c r="M31" s="197">
        <f>E31-червень!E31</f>
        <v>10100</v>
      </c>
      <c r="N31" s="200">
        <f>F31-червень!F31</f>
        <v>1405.0099999999948</v>
      </c>
      <c r="O31" s="207">
        <f t="shared" si="4"/>
        <v>-8694.990000000005</v>
      </c>
      <c r="P31" s="205">
        <f>N31/M31*100</f>
        <v>13.91099009900985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E32-червень!E32</f>
        <v>0</v>
      </c>
      <c r="N32" s="179">
        <f>F32-червень!F32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19695.97</v>
      </c>
      <c r="F33" s="171">
        <v>18346.62</v>
      </c>
      <c r="G33" s="109">
        <f t="shared" si="0"/>
        <v>-1349.3500000000022</v>
      </c>
      <c r="H33" s="111">
        <f t="shared" si="1"/>
        <v>93.1491061369407</v>
      </c>
      <c r="I33" s="110">
        <f t="shared" si="2"/>
        <v>-9253.380000000001</v>
      </c>
      <c r="J33" s="110">
        <f t="shared" si="3"/>
        <v>66.47326086956521</v>
      </c>
      <c r="K33" s="142">
        <f>F33-11423.16</f>
        <v>6923.459999999999</v>
      </c>
      <c r="L33" s="142">
        <f>F33/11423.16*100</f>
        <v>160.60897334888068</v>
      </c>
      <c r="M33" s="111">
        <f>E33-червень!E33</f>
        <v>2000</v>
      </c>
      <c r="N33" s="179">
        <f>F33-червень!F33</f>
        <v>33.55999999999767</v>
      </c>
      <c r="O33" s="112">
        <f t="shared" si="4"/>
        <v>-1966.4400000000023</v>
      </c>
      <c r="P33" s="110">
        <f>N33/M33*100</f>
        <v>1.6779999999998838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60436.08</v>
      </c>
      <c r="F34" s="171">
        <v>55180.13</v>
      </c>
      <c r="G34" s="109">
        <f t="shared" si="0"/>
        <v>-5255.950000000004</v>
      </c>
      <c r="H34" s="111">
        <f t="shared" si="1"/>
        <v>91.30329101424182</v>
      </c>
      <c r="I34" s="110">
        <f t="shared" si="2"/>
        <v>-26631.870000000003</v>
      </c>
      <c r="J34" s="110">
        <f t="shared" si="3"/>
        <v>67.44747714271745</v>
      </c>
      <c r="K34" s="142">
        <f>F34-34622.85</f>
        <v>20557.28</v>
      </c>
      <c r="L34" s="142">
        <f>F34/34622.85*100</f>
        <v>159.37489259260863</v>
      </c>
      <c r="M34" s="111">
        <f>E34-червень!E34</f>
        <v>8100</v>
      </c>
      <c r="N34" s="179">
        <f>F34-червень!F34</f>
        <v>290.6800000000003</v>
      </c>
      <c r="O34" s="112">
        <f t="shared" si="4"/>
        <v>-7809.32</v>
      </c>
      <c r="P34" s="110">
        <f>N34/M34*100</f>
        <v>3.588641975308646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F35-червень!F35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9">
        <f>F36-червень!F36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25146.029999999995</v>
      </c>
      <c r="F37" s="191">
        <f>F38+F39+F40+F41+F42+F44+F46+F47+F48+F49+F50+F55+F56+F60+F43</f>
        <v>33471.06</v>
      </c>
      <c r="G37" s="191">
        <f>G38+G39+G40+G41+G42+G44+G46+G47+G48+G49+G50+G55+G56+G60</f>
        <v>8311.43</v>
      </c>
      <c r="H37" s="192">
        <f>F37/E37*100</f>
        <v>133.1067369282547</v>
      </c>
      <c r="I37" s="193">
        <f>F37-D37</f>
        <v>-9348.940000000002</v>
      </c>
      <c r="J37" s="193">
        <f>F37/D37*100</f>
        <v>78.1668846333489</v>
      </c>
      <c r="K37" s="191">
        <f>F37-15873</f>
        <v>17598.059999999998</v>
      </c>
      <c r="L37" s="191">
        <f>F37/15873*100</f>
        <v>210.86788886788887</v>
      </c>
      <c r="M37" s="191">
        <f>M38+M39+M40+M41+M42+M44+M46+M47+M48+M49+M50+M55+M56+M60</f>
        <v>3647.9999999999995</v>
      </c>
      <c r="N37" s="191">
        <f>N38+N39+N40+N41+N42+N44+N46+N47+N48+N49+N50+N55+N56+N60+N43</f>
        <v>4210.410000000001</v>
      </c>
      <c r="O37" s="191">
        <f>O38+O39+O40+O41+O42+O44+O46+O47+O48+O49+O50+O55+O56+O60</f>
        <v>562.410000000001</v>
      </c>
      <c r="P37" s="191">
        <f>N37/M37*100</f>
        <v>115.41694078947371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70</v>
      </c>
      <c r="F38" s="196">
        <v>240.17</v>
      </c>
      <c r="G38" s="202">
        <f>F38-E38</f>
        <v>170.17</v>
      </c>
      <c r="H38" s="204">
        <f aca="true" t="shared" si="7" ref="H38:H61">F38/E38*100</f>
        <v>343.09999999999997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E38-червень!E38</f>
        <v>3</v>
      </c>
      <c r="N38" s="208">
        <f>F38-червень!F38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7537</v>
      </c>
      <c r="F39" s="196">
        <v>17271.02</v>
      </c>
      <c r="G39" s="202">
        <f aca="true" t="shared" si="9" ref="G39:G62">F39-E39</f>
        <v>9734.02</v>
      </c>
      <c r="H39" s="204">
        <f t="shared" si="7"/>
        <v>229.14979434788378</v>
      </c>
      <c r="I39" s="205">
        <f aca="true" t="shared" si="10" ref="I39:I62">F39-D39</f>
        <v>7271.02</v>
      </c>
      <c r="J39" s="205">
        <f>F39/D39*100</f>
        <v>172.71020000000001</v>
      </c>
      <c r="K39" s="205">
        <f>F39-0</f>
        <v>17271.02</v>
      </c>
      <c r="L39" s="205"/>
      <c r="M39" s="204">
        <f>E39-червень!E39</f>
        <v>1000</v>
      </c>
      <c r="N39" s="208">
        <f>F39-червень!F39</f>
        <v>3375.210000000001</v>
      </c>
      <c r="O39" s="207">
        <f aca="true" t="shared" si="11" ref="O39:O62">N39-M39</f>
        <v>2375.210000000001</v>
      </c>
      <c r="P39" s="205">
        <f t="shared" si="8"/>
        <v>337.5210000000001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131.44</v>
      </c>
      <c r="F40" s="196">
        <v>28.07</v>
      </c>
      <c r="G40" s="202">
        <f t="shared" si="9"/>
        <v>-103.37</v>
      </c>
      <c r="H40" s="204">
        <f t="shared" si="7"/>
        <v>21.355751673767497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E40-червень!E40</f>
        <v>20</v>
      </c>
      <c r="N40" s="208">
        <f>F40-червень!F40</f>
        <v>0</v>
      </c>
      <c r="O40" s="207">
        <f t="shared" si="11"/>
        <v>-20</v>
      </c>
      <c r="P40" s="205">
        <f t="shared" si="8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E41-червень!E41</f>
        <v>0</v>
      </c>
      <c r="N41" s="208">
        <f>F41-червень!F41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70</v>
      </c>
      <c r="F42" s="196">
        <v>64.9</v>
      </c>
      <c r="G42" s="202">
        <f t="shared" si="9"/>
        <v>-5.099999999999994</v>
      </c>
      <c r="H42" s="204">
        <f t="shared" si="7"/>
        <v>92.71428571428572</v>
      </c>
      <c r="I42" s="205">
        <f t="shared" si="10"/>
        <v>-85.1</v>
      </c>
      <c r="J42" s="205">
        <f t="shared" si="12"/>
        <v>43.26666666666667</v>
      </c>
      <c r="K42" s="205">
        <f>F42-81.62</f>
        <v>-16.72</v>
      </c>
      <c r="L42" s="205">
        <f>F42/81.62*100</f>
        <v>79.51482479784366</v>
      </c>
      <c r="M42" s="204">
        <f>E42-червень!E42</f>
        <v>10</v>
      </c>
      <c r="N42" s="208">
        <f>F42-червень!F42</f>
        <v>3.930000000000007</v>
      </c>
      <c r="O42" s="207">
        <f t="shared" si="11"/>
        <v>-6.069999999999993</v>
      </c>
      <c r="P42" s="205">
        <f t="shared" si="8"/>
        <v>39.30000000000007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E43-червень!E43</f>
        <v>0</v>
      </c>
      <c r="N43" s="208">
        <f>F43-червень!F43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48</v>
      </c>
      <c r="F44" s="196">
        <v>183.5</v>
      </c>
      <c r="G44" s="202">
        <f t="shared" si="9"/>
        <v>135.5</v>
      </c>
      <c r="H44" s="204">
        <f t="shared" si="7"/>
        <v>382.29166666666663</v>
      </c>
      <c r="I44" s="205">
        <f t="shared" si="10"/>
        <v>93.5</v>
      </c>
      <c r="J44" s="205">
        <f t="shared" si="12"/>
        <v>203.88888888888889</v>
      </c>
      <c r="K44" s="205">
        <f>F44-0</f>
        <v>183.5</v>
      </c>
      <c r="L44" s="205"/>
      <c r="M44" s="204">
        <f>E44-червень!E44</f>
        <v>8</v>
      </c>
      <c r="N44" s="208">
        <f>F44-червень!F44</f>
        <v>15.419999999999987</v>
      </c>
      <c r="O44" s="207">
        <f t="shared" si="11"/>
        <v>7.4199999999999875</v>
      </c>
      <c r="P44" s="205">
        <f t="shared" si="8"/>
        <v>192.74999999999983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E45-червень!E45</f>
        <v>0</v>
      </c>
      <c r="N45" s="208">
        <f>F45-червень!F45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5339.02</v>
      </c>
      <c r="F46" s="196">
        <v>5104</v>
      </c>
      <c r="G46" s="202">
        <f t="shared" si="9"/>
        <v>-235.02000000000044</v>
      </c>
      <c r="H46" s="204">
        <f t="shared" si="7"/>
        <v>95.59806855939853</v>
      </c>
      <c r="I46" s="205">
        <f t="shared" si="10"/>
        <v>-4796</v>
      </c>
      <c r="J46" s="205">
        <f t="shared" si="12"/>
        <v>51.55555555555556</v>
      </c>
      <c r="K46" s="205">
        <f>F46-4927.6</f>
        <v>176.39999999999964</v>
      </c>
      <c r="L46" s="205">
        <f>F46/4927.6*100</f>
        <v>103.57983602565142</v>
      </c>
      <c r="M46" s="204">
        <f>E46-червень!E46</f>
        <v>800</v>
      </c>
      <c r="N46" s="208">
        <f>F46-червень!F46</f>
        <v>102.9399999999996</v>
      </c>
      <c r="O46" s="207">
        <f t="shared" si="11"/>
        <v>-697.0600000000004</v>
      </c>
      <c r="P46" s="205">
        <f t="shared" si="8"/>
        <v>12.867499999999952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780</v>
      </c>
      <c r="F47" s="196">
        <v>73.3</v>
      </c>
      <c r="G47" s="202">
        <f t="shared" si="9"/>
        <v>-706.7</v>
      </c>
      <c r="H47" s="204">
        <f t="shared" si="7"/>
        <v>9.397435897435898</v>
      </c>
      <c r="I47" s="205">
        <f t="shared" si="10"/>
        <v>-1426.7</v>
      </c>
      <c r="J47" s="205">
        <f t="shared" si="12"/>
        <v>4.886666666666666</v>
      </c>
      <c r="K47" s="205">
        <f>F47-0</f>
        <v>73.3</v>
      </c>
      <c r="L47" s="205"/>
      <c r="M47" s="204">
        <f>E47-червень!E47</f>
        <v>130</v>
      </c>
      <c r="N47" s="208">
        <f>F47-червень!F47</f>
        <v>4.3799999999999955</v>
      </c>
      <c r="O47" s="207">
        <f t="shared" si="11"/>
        <v>-125.62</v>
      </c>
      <c r="P47" s="205">
        <f t="shared" si="8"/>
        <v>3.369230769230766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24</v>
      </c>
      <c r="F48" s="196">
        <v>8.54</v>
      </c>
      <c r="G48" s="202">
        <f t="shared" si="9"/>
        <v>-15.46</v>
      </c>
      <c r="H48" s="204">
        <f t="shared" si="7"/>
        <v>35.58333333333333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E48-червень!E48</f>
        <v>4</v>
      </c>
      <c r="N48" s="208">
        <f>F48-червень!F48</f>
        <v>0</v>
      </c>
      <c r="O48" s="207">
        <f t="shared" si="11"/>
        <v>-4</v>
      </c>
      <c r="P48" s="205">
        <f t="shared" si="8"/>
        <v>0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4616.23</v>
      </c>
      <c r="F49" s="196">
        <v>4498</v>
      </c>
      <c r="G49" s="202">
        <f t="shared" si="9"/>
        <v>-118.22999999999956</v>
      </c>
      <c r="H49" s="204">
        <f t="shared" si="7"/>
        <v>97.43881912296398</v>
      </c>
      <c r="I49" s="205">
        <f t="shared" si="10"/>
        <v>-4002</v>
      </c>
      <c r="J49" s="205">
        <f t="shared" si="12"/>
        <v>52.917647058823526</v>
      </c>
      <c r="K49" s="205">
        <f>F49-4302.71</f>
        <v>195.28999999999996</v>
      </c>
      <c r="L49" s="205">
        <f>F49/4302.71*100</f>
        <v>104.53876742796982</v>
      </c>
      <c r="M49" s="204">
        <f>E49-червень!E49</f>
        <v>649.9999999999995</v>
      </c>
      <c r="N49" s="208">
        <f>F49-червень!F49</f>
        <v>569.9499999999998</v>
      </c>
      <c r="O49" s="207">
        <f t="shared" si="11"/>
        <v>-80.04999999999973</v>
      </c>
      <c r="P49" s="205">
        <f t="shared" si="8"/>
        <v>87.68461538461541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3872.19</v>
      </c>
      <c r="F50" s="196">
        <v>3188</v>
      </c>
      <c r="G50" s="202">
        <f t="shared" si="9"/>
        <v>-684.19</v>
      </c>
      <c r="H50" s="204">
        <f t="shared" si="7"/>
        <v>82.33067075737502</v>
      </c>
      <c r="I50" s="205">
        <f t="shared" si="10"/>
        <v>-4112</v>
      </c>
      <c r="J50" s="205">
        <f t="shared" si="12"/>
        <v>43.67123287671233</v>
      </c>
      <c r="K50" s="205">
        <f>F50-4033.24</f>
        <v>-845.2399999999998</v>
      </c>
      <c r="L50" s="205">
        <f>F50/4033.24*100</f>
        <v>79.0431514117682</v>
      </c>
      <c r="M50" s="204">
        <f>E50-червень!E50</f>
        <v>653</v>
      </c>
      <c r="N50" s="208">
        <f>F50-червень!F50</f>
        <v>93.36999999999989</v>
      </c>
      <c r="O50" s="207">
        <f t="shared" si="11"/>
        <v>-559.6300000000001</v>
      </c>
      <c r="P50" s="205">
        <f t="shared" si="8"/>
        <v>14.298621745788651</v>
      </c>
      <c r="Q50" s="42"/>
      <c r="R50" s="100"/>
    </row>
    <row r="51" spans="1:18" s="6" customFormat="1" ht="15">
      <c r="A51" s="8"/>
      <c r="B51" s="55" t="s">
        <v>101</v>
      </c>
      <c r="C51" s="138">
        <v>22090100</v>
      </c>
      <c r="D51" s="109">
        <v>1100</v>
      </c>
      <c r="E51" s="109">
        <v>643.99</v>
      </c>
      <c r="F51" s="171">
        <v>437.7</v>
      </c>
      <c r="G51" s="36">
        <f t="shared" si="9"/>
        <v>-206.29000000000002</v>
      </c>
      <c r="H51" s="32">
        <f t="shared" si="7"/>
        <v>67.96689389586794</v>
      </c>
      <c r="I51" s="110">
        <f t="shared" si="10"/>
        <v>-662.3</v>
      </c>
      <c r="J51" s="110">
        <f t="shared" si="12"/>
        <v>39.79090909090909</v>
      </c>
      <c r="K51" s="110">
        <f>F51-582.74</f>
        <v>-145.04000000000002</v>
      </c>
      <c r="L51" s="110">
        <f>F51/582.74*100</f>
        <v>75.11068401002163</v>
      </c>
      <c r="M51" s="111">
        <f>E51-червень!E51</f>
        <v>92</v>
      </c>
      <c r="N51" s="179">
        <f>F51-червень!F51</f>
        <v>17.029999999999973</v>
      </c>
      <c r="O51" s="112">
        <f t="shared" si="11"/>
        <v>-74.97000000000003</v>
      </c>
      <c r="P51" s="132">
        <f t="shared" si="8"/>
        <v>18.510869565217362</v>
      </c>
      <c r="Q51" s="42"/>
      <c r="R51" s="100"/>
    </row>
    <row r="52" spans="1:18" s="6" customFormat="1" ht="15">
      <c r="A52" s="8"/>
      <c r="B52" s="55" t="s">
        <v>98</v>
      </c>
      <c r="C52" s="138">
        <v>22090200</v>
      </c>
      <c r="D52" s="109">
        <v>45</v>
      </c>
      <c r="E52" s="109">
        <v>6.04</v>
      </c>
      <c r="F52" s="171">
        <v>0.24</v>
      </c>
      <c r="G52" s="36">
        <f t="shared" si="9"/>
        <v>-5.8</v>
      </c>
      <c r="H52" s="32">
        <f t="shared" si="7"/>
        <v>3.9735099337748347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E52-червень!E52</f>
        <v>1</v>
      </c>
      <c r="N52" s="179">
        <f>F52-червень!F52</f>
        <v>0</v>
      </c>
      <c r="O52" s="112">
        <f t="shared" si="11"/>
        <v>-1</v>
      </c>
      <c r="P52" s="132">
        <f t="shared" si="8"/>
        <v>0</v>
      </c>
      <c r="Q52" s="42"/>
      <c r="R52" s="100"/>
    </row>
    <row r="53" spans="1:18" s="6" customFormat="1" ht="15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E53-червень!E53</f>
        <v>0</v>
      </c>
      <c r="N53" s="179">
        <f>F53-червень!F53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>
      <c r="A54" s="8"/>
      <c r="B54" s="55" t="s">
        <v>100</v>
      </c>
      <c r="C54" s="138">
        <v>22090400</v>
      </c>
      <c r="D54" s="109">
        <v>6154</v>
      </c>
      <c r="E54" s="109">
        <v>3222.17</v>
      </c>
      <c r="F54" s="171">
        <v>2750.1</v>
      </c>
      <c r="G54" s="36">
        <f t="shared" si="9"/>
        <v>-472.07000000000016</v>
      </c>
      <c r="H54" s="32">
        <f t="shared" si="7"/>
        <v>85.34931428199009</v>
      </c>
      <c r="I54" s="110">
        <f t="shared" si="10"/>
        <v>-3403.9</v>
      </c>
      <c r="J54" s="110">
        <f t="shared" si="12"/>
        <v>44.688007799805</v>
      </c>
      <c r="K54" s="110">
        <f>F54-3404.6</f>
        <v>-654.5</v>
      </c>
      <c r="L54" s="110">
        <f>F54/3404.6*100</f>
        <v>80.77600892909594</v>
      </c>
      <c r="M54" s="111">
        <f>E54-червень!E54</f>
        <v>560</v>
      </c>
      <c r="N54" s="179">
        <f>F54-червень!F54</f>
        <v>76.38999999999987</v>
      </c>
      <c r="O54" s="112">
        <f t="shared" si="11"/>
        <v>-483.6100000000001</v>
      </c>
      <c r="P54" s="132">
        <f t="shared" si="8"/>
        <v>13.641071428571404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E55-червень!E55</f>
        <v>0</v>
      </c>
      <c r="N55" s="208">
        <f>F55-червень!F55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2637.98</v>
      </c>
      <c r="F56" s="196">
        <v>2742.8</v>
      </c>
      <c r="G56" s="202">
        <f t="shared" si="9"/>
        <v>104.82000000000016</v>
      </c>
      <c r="H56" s="204">
        <f t="shared" si="7"/>
        <v>103.97349487107562</v>
      </c>
      <c r="I56" s="205">
        <f t="shared" si="10"/>
        <v>-2057.2</v>
      </c>
      <c r="J56" s="205">
        <f t="shared" si="12"/>
        <v>57.141666666666666</v>
      </c>
      <c r="K56" s="205">
        <f>F56-2236.15</f>
        <v>506.6500000000001</v>
      </c>
      <c r="L56" s="205">
        <f>F56/2236.15*100</f>
        <v>122.65724571249692</v>
      </c>
      <c r="M56" s="204">
        <f>E56-червень!E56</f>
        <v>370</v>
      </c>
      <c r="N56" s="208">
        <f>F56-червень!F56</f>
        <v>33.66000000000031</v>
      </c>
      <c r="O56" s="207">
        <f t="shared" si="11"/>
        <v>-336.3399999999997</v>
      </c>
      <c r="P56" s="205">
        <f t="shared" si="8"/>
        <v>9.09729729729738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E57-червень!E57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611</v>
      </c>
      <c r="G58" s="202"/>
      <c r="H58" s="204"/>
      <c r="I58" s="205"/>
      <c r="J58" s="205"/>
      <c r="K58" s="206">
        <f>F58-577.4</f>
        <v>33.60000000000002</v>
      </c>
      <c r="L58" s="206">
        <f>F58/577.4*100</f>
        <v>105.8191894700381</v>
      </c>
      <c r="M58" s="236"/>
      <c r="N58" s="220">
        <f>F58-червень!F58</f>
        <v>18.74000000000001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52.6</v>
      </c>
      <c r="G60" s="202">
        <f t="shared" si="9"/>
        <v>32.6</v>
      </c>
      <c r="H60" s="204">
        <f t="shared" si="7"/>
        <v>263</v>
      </c>
      <c r="I60" s="205">
        <f t="shared" si="10"/>
        <v>32.6</v>
      </c>
      <c r="J60" s="205">
        <f t="shared" si="12"/>
        <v>263</v>
      </c>
      <c r="K60" s="205">
        <f>F60-0.6</f>
        <v>52</v>
      </c>
      <c r="L60" s="205">
        <f>F60/0.6*100</f>
        <v>8766.666666666668</v>
      </c>
      <c r="M60" s="204">
        <f>E60-червень!E60</f>
        <v>0</v>
      </c>
      <c r="N60" s="208">
        <f>F60-червень!F60</f>
        <v>11.550000000000004</v>
      </c>
      <c r="O60" s="207">
        <f t="shared" si="11"/>
        <v>11.550000000000004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190">
        <v>30</v>
      </c>
      <c r="E61" s="190">
        <v>14.5</v>
      </c>
      <c r="F61" s="196">
        <v>13.52</v>
      </c>
      <c r="G61" s="202">
        <f t="shared" si="9"/>
        <v>-0.9800000000000004</v>
      </c>
      <c r="H61" s="204">
        <f t="shared" si="7"/>
        <v>93.24137931034483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E61-червень!E61</f>
        <v>2.3000000000000007</v>
      </c>
      <c r="N61" s="208">
        <f>F61-червень!F61</f>
        <v>0</v>
      </c>
      <c r="O61" s="207">
        <f t="shared" si="11"/>
        <v>-2.3000000000000007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F62-червень!F62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524696.81</v>
      </c>
      <c r="F63" s="191">
        <f>F8+F37+F61+F62</f>
        <v>496735.48</v>
      </c>
      <c r="G63" s="191">
        <f>F63-E63</f>
        <v>-27961.330000000075</v>
      </c>
      <c r="H63" s="192">
        <f>F63/E63*100</f>
        <v>94.67095483199144</v>
      </c>
      <c r="I63" s="193">
        <f>F63-D63</f>
        <v>-387165.12</v>
      </c>
      <c r="J63" s="193">
        <f>F63/D63*100</f>
        <v>56.198115489456626</v>
      </c>
      <c r="K63" s="193">
        <f>F63-320998.67</f>
        <v>175736.81</v>
      </c>
      <c r="L63" s="193">
        <f>F63/320998.67*100</f>
        <v>154.7468966148676</v>
      </c>
      <c r="M63" s="191">
        <f>M8+M37+M61+M62</f>
        <v>82950.80000000003</v>
      </c>
      <c r="N63" s="191">
        <f>N8+N37+N61+N62</f>
        <v>1949.4799999999932</v>
      </c>
      <c r="O63" s="195">
        <f>N63-M63</f>
        <v>-81001.32000000004</v>
      </c>
      <c r="P63" s="193">
        <f>N63/M63*100</f>
        <v>2.3501641937148197</v>
      </c>
      <c r="Q63" s="28">
        <f>N63-34768</f>
        <v>-32818.520000000004</v>
      </c>
      <c r="R63" s="128">
        <f>N63/34768</f>
        <v>0.05607109986194182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F68-червень!F68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F69-червень!F69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0</v>
      </c>
      <c r="O70" s="228">
        <f>N70-M70</f>
        <v>0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1800</v>
      </c>
      <c r="F72" s="222">
        <v>1042.03</v>
      </c>
      <c r="G72" s="202">
        <f aca="true" t="shared" si="13" ref="G72:G82">F72-E72</f>
        <v>-757.97</v>
      </c>
      <c r="H72" s="204"/>
      <c r="I72" s="207">
        <f aca="true" t="shared" si="14" ref="I72:I82">F72-D72</f>
        <v>-3157.9700000000003</v>
      </c>
      <c r="J72" s="207">
        <f>F72/D72*100</f>
        <v>24.810238095238095</v>
      </c>
      <c r="K72" s="207">
        <f>F72-194</f>
        <v>848.03</v>
      </c>
      <c r="L72" s="207">
        <f>F72/194*100</f>
        <v>537.1288659793814</v>
      </c>
      <c r="M72" s="204">
        <f>E72-червень!E72</f>
        <v>387</v>
      </c>
      <c r="N72" s="208">
        <f>F72-червень!F72</f>
        <v>0.009999999999990905</v>
      </c>
      <c r="O72" s="207">
        <f aca="true" t="shared" si="15" ref="O72:O85">N72-M72</f>
        <v>-386.99</v>
      </c>
      <c r="P72" s="207">
        <f>N72/M72*100</f>
        <v>0.0025839793281630247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3327.31</v>
      </c>
      <c r="F73" s="222">
        <v>936.04</v>
      </c>
      <c r="G73" s="202">
        <f t="shared" si="13"/>
        <v>-2391.27</v>
      </c>
      <c r="H73" s="204">
        <f>F73/E73*100</f>
        <v>28.132034586497802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E73-червень!E73</f>
        <v>1093.6</v>
      </c>
      <c r="N73" s="208">
        <f>F73-червень!F73</f>
        <v>0</v>
      </c>
      <c r="O73" s="207">
        <f t="shared" si="15"/>
        <v>-1093.6</v>
      </c>
      <c r="P73" s="207">
        <f>N73/M73*100</f>
        <v>0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2094.85</v>
      </c>
      <c r="F74" s="222">
        <v>9374.51</v>
      </c>
      <c r="G74" s="202">
        <f t="shared" si="13"/>
        <v>7279.66</v>
      </c>
      <c r="H74" s="204">
        <f>F74/E74*100</f>
        <v>447.50268515645513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E74-червень!E74</f>
        <v>302</v>
      </c>
      <c r="N74" s="208">
        <f>F74-червень!F74</f>
        <v>0</v>
      </c>
      <c r="O74" s="207">
        <f t="shared" si="15"/>
        <v>-302</v>
      </c>
      <c r="P74" s="207">
        <f>N74/M74*100</f>
        <v>0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7</v>
      </c>
      <c r="F75" s="222">
        <v>6</v>
      </c>
      <c r="G75" s="202">
        <f t="shared" si="13"/>
        <v>-1</v>
      </c>
      <c r="H75" s="204">
        <f>F75/E75*100</f>
        <v>85.71428571428571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E75-червень!E75</f>
        <v>1</v>
      </c>
      <c r="N75" s="208">
        <f>F75-червень!F75</f>
        <v>0</v>
      </c>
      <c r="O75" s="207">
        <f t="shared" si="15"/>
        <v>-1</v>
      </c>
      <c r="P75" s="207">
        <f>N75/M75*100</f>
        <v>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7229.16</v>
      </c>
      <c r="F76" s="225">
        <f>F72+F73+F74+F75</f>
        <v>11358.58</v>
      </c>
      <c r="G76" s="226">
        <f t="shared" si="13"/>
        <v>4129.42</v>
      </c>
      <c r="H76" s="227">
        <f>F76/E76*100</f>
        <v>157.1217126194468</v>
      </c>
      <c r="I76" s="228">
        <f t="shared" si="14"/>
        <v>-6312.42</v>
      </c>
      <c r="J76" s="228">
        <f>F76/D76*100</f>
        <v>64.27808273442363</v>
      </c>
      <c r="K76" s="228">
        <f>F76-5269.49</f>
        <v>6089.09</v>
      </c>
      <c r="L76" s="228">
        <f>F76/5269.49*100</f>
        <v>215.5536873587387</v>
      </c>
      <c r="M76" s="226">
        <f>M72+M73+M74+M75</f>
        <v>1783.6</v>
      </c>
      <c r="N76" s="230">
        <f>N72+N73+N74+N75</f>
        <v>0.009999999999990905</v>
      </c>
      <c r="O76" s="228">
        <f t="shared" si="15"/>
        <v>-1783.59</v>
      </c>
      <c r="P76" s="228">
        <f>N76/M76*100</f>
        <v>0.0005606638259694386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E77-червень!E77</f>
        <v>0</v>
      </c>
      <c r="N77" s="208">
        <f>F77-червень!F77</f>
        <v>0</v>
      </c>
      <c r="O77" s="207">
        <f t="shared" si="15"/>
        <v>0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E78-червень!E78</f>
        <v>0</v>
      </c>
      <c r="N78" s="208">
        <f>F78-червень!F78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5127.3</v>
      </c>
      <c r="F79" s="222">
        <v>4890.44</v>
      </c>
      <c r="G79" s="202">
        <f t="shared" si="13"/>
        <v>-236.86000000000058</v>
      </c>
      <c r="H79" s="204">
        <f>F79/E79*100</f>
        <v>95.38041464318451</v>
      </c>
      <c r="I79" s="207">
        <f t="shared" si="14"/>
        <v>-4609.56</v>
      </c>
      <c r="J79" s="207">
        <f>F79/D79*100</f>
        <v>51.47831578947368</v>
      </c>
      <c r="K79" s="207">
        <f>F79-0</f>
        <v>4890.44</v>
      </c>
      <c r="L79" s="207"/>
      <c r="M79" s="204">
        <f>E79-червень!E79</f>
        <v>10</v>
      </c>
      <c r="N79" s="208">
        <f>F79-червень!F79</f>
        <v>0</v>
      </c>
      <c r="O79" s="207">
        <f>N79-M79</f>
        <v>-10</v>
      </c>
      <c r="P79" s="231">
        <f>N79/M79*100</f>
        <v>0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E80-червень!E80</f>
        <v>0</v>
      </c>
      <c r="N80" s="208">
        <f>F80-червень!F80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5127.3</v>
      </c>
      <c r="F81" s="225">
        <f>F77+F80+F78+F79</f>
        <v>4896.44</v>
      </c>
      <c r="G81" s="224">
        <f>G77+G80+G78+G79</f>
        <v>-230.86000000000058</v>
      </c>
      <c r="H81" s="227">
        <f>F81/E81*100</f>
        <v>95.49743529732997</v>
      </c>
      <c r="I81" s="228">
        <f t="shared" si="14"/>
        <v>-4604.56</v>
      </c>
      <c r="J81" s="228">
        <f>F81/D81*100</f>
        <v>51.53604883696452</v>
      </c>
      <c r="K81" s="228">
        <f>F81-1.06</f>
        <v>4895.379999999999</v>
      </c>
      <c r="L81" s="228">
        <f>F81/1.06*100</f>
        <v>461928.30188679235</v>
      </c>
      <c r="M81" s="226">
        <f>M77+M80+M78+M79</f>
        <v>10</v>
      </c>
      <c r="N81" s="230">
        <f>N77+N80+N78+N79</f>
        <v>0</v>
      </c>
      <c r="O81" s="226">
        <f>O77+O80+O78+O79</f>
        <v>-10</v>
      </c>
      <c r="P81" s="228">
        <f>N81/M81*100</f>
        <v>0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20.3</v>
      </c>
      <c r="F82" s="222">
        <v>18.25</v>
      </c>
      <c r="G82" s="202">
        <f t="shared" si="13"/>
        <v>-2.0500000000000007</v>
      </c>
      <c r="H82" s="204">
        <f>F82/E82*100</f>
        <v>89.90147783251231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E82-червень!E82</f>
        <v>0.6000000000000014</v>
      </c>
      <c r="N82" s="208">
        <f>F82-червень!F82</f>
        <v>0</v>
      </c>
      <c r="O82" s="207">
        <f t="shared" si="15"/>
        <v>-0.6000000000000014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12376.76</v>
      </c>
      <c r="F84" s="232">
        <f>F70+F82+F76+F81+F83</f>
        <v>16270.98</v>
      </c>
      <c r="G84" s="233">
        <f>F84-E84</f>
        <v>3894.2199999999993</v>
      </c>
      <c r="H84" s="234">
        <f>F84/E84*100</f>
        <v>131.46396956877246</v>
      </c>
      <c r="I84" s="235">
        <f>F84-D84</f>
        <v>-10944.02</v>
      </c>
      <c r="J84" s="235">
        <f>F84/D84*100</f>
        <v>59.78680874517729</v>
      </c>
      <c r="K84" s="235">
        <f>F84-5259.67</f>
        <v>11011.31</v>
      </c>
      <c r="L84" s="235">
        <f>F84/5259.67*100</f>
        <v>309.35362864970614</v>
      </c>
      <c r="M84" s="232">
        <f>M70+M82+M76+M81</f>
        <v>1794.1999999999998</v>
      </c>
      <c r="N84" s="232">
        <f>N70+N82+N76+N81+N83</f>
        <v>0.009999999999990905</v>
      </c>
      <c r="O84" s="235">
        <f t="shared" si="15"/>
        <v>-1794.1899999999998</v>
      </c>
      <c r="P84" s="235">
        <f>N84/M84*100</f>
        <v>0.0005573514658338483</v>
      </c>
      <c r="Q84" s="28">
        <f>N84-8104.96</f>
        <v>-8104.95</v>
      </c>
      <c r="R84" s="101">
        <f>N84/8104.96</f>
        <v>1.2338123815528892E-06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537073.5700000001</v>
      </c>
      <c r="F85" s="232">
        <f>F63+F84</f>
        <v>513006.45999999996</v>
      </c>
      <c r="G85" s="233">
        <f>F85-E85</f>
        <v>-24067.110000000102</v>
      </c>
      <c r="H85" s="234">
        <f>F85/E85*100</f>
        <v>95.51884297713625</v>
      </c>
      <c r="I85" s="235">
        <f>F85-D85</f>
        <v>-398109.14</v>
      </c>
      <c r="J85" s="235">
        <f>F85/D85*100</f>
        <v>56.30530966652311</v>
      </c>
      <c r="K85" s="235">
        <f>F85-320998.67-5259.67</f>
        <v>186748.11999999997</v>
      </c>
      <c r="L85" s="235">
        <f>F85/(265734.15+4325.48)*100</f>
        <v>189.96043947775533</v>
      </c>
      <c r="M85" s="233">
        <f>M63+M84</f>
        <v>84745.00000000003</v>
      </c>
      <c r="N85" s="233">
        <f>N63+N84</f>
        <v>1949.4899999999932</v>
      </c>
      <c r="O85" s="235">
        <f t="shared" si="15"/>
        <v>-82795.51000000004</v>
      </c>
      <c r="P85" s="235">
        <f>N85/M85*100</f>
        <v>2.300418903770125</v>
      </c>
      <c r="Q85" s="28">
        <f>N85-42872.96</f>
        <v>-40923.47000000001</v>
      </c>
      <c r="R85" s="101">
        <f>N85/42872.96</f>
        <v>0.04547131805221737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18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4500.0733333333355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42556</v>
      </c>
      <c r="D89" s="31">
        <v>188</v>
      </c>
      <c r="G89" s="4" t="s">
        <v>59</v>
      </c>
      <c r="N89" s="256"/>
      <c r="O89" s="256"/>
    </row>
    <row r="90" spans="3:15" ht="15">
      <c r="C90" s="87">
        <v>42555</v>
      </c>
      <c r="D90" s="31">
        <v>408.3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42553</v>
      </c>
      <c r="D91" s="31">
        <v>506.7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f>'[1]залишки  (2)'!$G$6/1000</f>
        <v>0.00222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 hidden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852</v>
      </c>
      <c r="F96" s="247">
        <f>F44+F47+F48</f>
        <v>265.34000000000003</v>
      </c>
      <c r="G96" s="73">
        <f>G44+G47+G48</f>
        <v>-586.6600000000001</v>
      </c>
      <c r="H96" s="74"/>
      <c r="I96" s="74"/>
      <c r="M96" s="31">
        <f>M44+M47+M48</f>
        <v>142</v>
      </c>
      <c r="N96" s="246">
        <f>N44+N47+N48</f>
        <v>19.799999999999983</v>
      </c>
      <c r="O96" s="31">
        <f>O44+O47+O48</f>
        <v>-122.20000000000002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99" ht="15">
      <c r="N99" s="31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G4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3" sqref="N6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177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71"/>
      <c r="C2" s="271"/>
      <c r="D2" s="271"/>
      <c r="E2" s="2"/>
      <c r="F2" s="122"/>
      <c r="G2" s="2"/>
      <c r="H2" s="2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172</v>
      </c>
      <c r="N3" s="281" t="s">
        <v>173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170</v>
      </c>
      <c r="F4" s="264" t="s">
        <v>34</v>
      </c>
      <c r="G4" s="258" t="s">
        <v>171</v>
      </c>
      <c r="H4" s="266" t="s">
        <v>175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178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67.5" customHeight="1">
      <c r="A5" s="273"/>
      <c r="B5" s="274"/>
      <c r="C5" s="275"/>
      <c r="D5" s="276"/>
      <c r="E5" s="283"/>
      <c r="F5" s="265"/>
      <c r="G5" s="259"/>
      <c r="H5" s="267"/>
      <c r="I5" s="259"/>
      <c r="J5" s="267"/>
      <c r="K5" s="261" t="s">
        <v>174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191">
        <f>F9+F15+F18+F19+F20+F36+F17</f>
        <v>465511.43</v>
      </c>
      <c r="G8" s="191">
        <f aca="true" t="shared" si="0" ref="G8:G36">F8-E8</f>
        <v>45275.65000000002</v>
      </c>
      <c r="H8" s="192">
        <f>F8/E8*100</f>
        <v>110.77386842215103</v>
      </c>
      <c r="I8" s="193">
        <f>F8-D8</f>
        <v>-375538.57</v>
      </c>
      <c r="J8" s="193">
        <f>F8/D8*100</f>
        <v>55.348841329290764</v>
      </c>
      <c r="K8" s="191">
        <f>F8-305119.12</f>
        <v>160392.31</v>
      </c>
      <c r="L8" s="191">
        <f>F8/305119.12*100</f>
        <v>152.56711214951068</v>
      </c>
      <c r="M8" s="191">
        <f>M9+M15+M18+M19+M20+M17</f>
        <v>67799.29999999999</v>
      </c>
      <c r="N8" s="191">
        <f>N9+N15+N18+N19+N20+N17</f>
        <v>90516.48000000001</v>
      </c>
      <c r="O8" s="191">
        <f>N8-M8</f>
        <v>22717.180000000022</v>
      </c>
      <c r="P8" s="191">
        <f>N8/M8*100</f>
        <v>133.50651112917097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6">
        <v>261442.54</v>
      </c>
      <c r="G9" s="190">
        <f t="shared" si="0"/>
        <v>37538.27000000002</v>
      </c>
      <c r="H9" s="197">
        <f>F9/E9*100</f>
        <v>116.7653211794487</v>
      </c>
      <c r="I9" s="198">
        <f>F9-D9</f>
        <v>-198257.46</v>
      </c>
      <c r="J9" s="198">
        <f>F9/D9*100</f>
        <v>56.87242549488797</v>
      </c>
      <c r="K9" s="199">
        <f>F9-171379.72</f>
        <v>90062.82</v>
      </c>
      <c r="L9" s="199">
        <f>F9/171379.72*100</f>
        <v>152.55162046011046</v>
      </c>
      <c r="M9" s="197">
        <f>E9-травень!E9</f>
        <v>41002</v>
      </c>
      <c r="N9" s="200">
        <f>F9-травень!F9</f>
        <v>62341.619999999995</v>
      </c>
      <c r="O9" s="201">
        <f>N9-M9</f>
        <v>21339.619999999995</v>
      </c>
      <c r="P9" s="198">
        <f>N9/M9*100</f>
        <v>152.04531486268962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71">
        <v>231268.41</v>
      </c>
      <c r="G10" s="109">
        <f t="shared" si="0"/>
        <v>31972.570000000007</v>
      </c>
      <c r="H10" s="32">
        <f aca="true" t="shared" si="1" ref="H10:H35">F10/E10*100</f>
        <v>116.04276837890846</v>
      </c>
      <c r="I10" s="110">
        <f aca="true" t="shared" si="2" ref="I10:I36">F10-D10</f>
        <v>-180171.59</v>
      </c>
      <c r="J10" s="110">
        <f aca="true" t="shared" si="3" ref="J10:J35">F10/D10*100</f>
        <v>56.20951049970834</v>
      </c>
      <c r="K10" s="112">
        <f>F10-152226.9</f>
        <v>79041.51000000001</v>
      </c>
      <c r="L10" s="112">
        <f>F10/152226.9*100</f>
        <v>151.92348395717184</v>
      </c>
      <c r="M10" s="111">
        <f>E10-травень!E10</f>
        <v>37450</v>
      </c>
      <c r="N10" s="179">
        <f>F10-травень!F10</f>
        <v>57100.080000000016</v>
      </c>
      <c r="O10" s="112">
        <f aca="true" t="shared" si="4" ref="O10:O36">N10-M10</f>
        <v>19650.080000000016</v>
      </c>
      <c r="P10" s="198">
        <f aca="true" t="shared" si="5" ref="P10:P16">N10/M10*100</f>
        <v>152.47017356475305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71">
        <v>18032.25</v>
      </c>
      <c r="G11" s="109">
        <f t="shared" si="0"/>
        <v>3867.3099999999995</v>
      </c>
      <c r="H11" s="32">
        <f t="shared" si="1"/>
        <v>127.30198645387838</v>
      </c>
      <c r="I11" s="110">
        <f t="shared" si="2"/>
        <v>-4967.75</v>
      </c>
      <c r="J11" s="110">
        <f t="shared" si="3"/>
        <v>78.40108695652174</v>
      </c>
      <c r="K11" s="112">
        <f>F11-9213.1</f>
        <v>8819.15</v>
      </c>
      <c r="L11" s="112">
        <f>F11/9213.1*100</f>
        <v>195.72402340146095</v>
      </c>
      <c r="M11" s="111">
        <f>E11-травень!E11</f>
        <v>1600</v>
      </c>
      <c r="N11" s="179">
        <f>F11-травень!F11</f>
        <v>3353</v>
      </c>
      <c r="O11" s="112">
        <f t="shared" si="4"/>
        <v>1753</v>
      </c>
      <c r="P11" s="198">
        <f t="shared" si="5"/>
        <v>209.5625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71">
        <v>5288.66</v>
      </c>
      <c r="G12" s="109">
        <f t="shared" si="0"/>
        <v>2568.0499999999997</v>
      </c>
      <c r="H12" s="32">
        <f t="shared" si="1"/>
        <v>194.39243404971677</v>
      </c>
      <c r="I12" s="110">
        <f t="shared" si="2"/>
        <v>-1211.3400000000001</v>
      </c>
      <c r="J12" s="110">
        <f t="shared" si="3"/>
        <v>81.364</v>
      </c>
      <c r="K12" s="112">
        <f>F12-2592.53</f>
        <v>2696.1299999999997</v>
      </c>
      <c r="L12" s="112">
        <f>F12/2592.53*100</f>
        <v>203.99609647718634</v>
      </c>
      <c r="M12" s="111">
        <f>E12-травень!E12</f>
        <v>500</v>
      </c>
      <c r="N12" s="179">
        <f>F12-травень!F12</f>
        <v>705.4300000000003</v>
      </c>
      <c r="O12" s="112">
        <f t="shared" si="4"/>
        <v>205.4300000000003</v>
      </c>
      <c r="P12" s="198">
        <f t="shared" si="5"/>
        <v>141.08600000000007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71">
        <v>4452.61</v>
      </c>
      <c r="G13" s="109">
        <f t="shared" si="0"/>
        <v>-132.23000000000047</v>
      </c>
      <c r="H13" s="32">
        <f t="shared" si="1"/>
        <v>97.11592989068319</v>
      </c>
      <c r="I13" s="110">
        <f t="shared" si="2"/>
        <v>-7947.39</v>
      </c>
      <c r="J13" s="110">
        <f t="shared" si="3"/>
        <v>35.90814516129032</v>
      </c>
      <c r="K13" s="112">
        <f>F13-2783.41</f>
        <v>1669.1999999999998</v>
      </c>
      <c r="L13" s="112">
        <f>F13/2783.41*100</f>
        <v>159.96960562762942</v>
      </c>
      <c r="M13" s="111">
        <f>E13-травень!E13</f>
        <v>820</v>
      </c>
      <c r="N13" s="179">
        <f>F13-травень!F13</f>
        <v>689.1699999999996</v>
      </c>
      <c r="O13" s="112">
        <f t="shared" si="4"/>
        <v>-130.83000000000038</v>
      </c>
      <c r="P13" s="198">
        <f t="shared" si="5"/>
        <v>84.04512195121947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71">
        <v>2400.61</v>
      </c>
      <c r="G14" s="109">
        <f t="shared" si="0"/>
        <v>-737.4299999999998</v>
      </c>
      <c r="H14" s="32">
        <f t="shared" si="1"/>
        <v>76.50029955003761</v>
      </c>
      <c r="I14" s="110">
        <f t="shared" si="2"/>
        <v>-3959.39</v>
      </c>
      <c r="J14" s="110">
        <f t="shared" si="3"/>
        <v>37.745440251572326</v>
      </c>
      <c r="K14" s="112">
        <f>F14-4563.77</f>
        <v>-2163.1600000000003</v>
      </c>
      <c r="L14" s="112">
        <f>F14/4563.77*100</f>
        <v>52.60146764626613</v>
      </c>
      <c r="M14" s="111">
        <f>E14-травень!E14</f>
        <v>632</v>
      </c>
      <c r="N14" s="179">
        <f>F14-травень!F14</f>
        <v>493.93000000000006</v>
      </c>
      <c r="O14" s="112">
        <f t="shared" si="4"/>
        <v>-138.06999999999994</v>
      </c>
      <c r="P14" s="198">
        <f t="shared" si="5"/>
        <v>78.15348101265823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6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6">
        <v>44512.02</v>
      </c>
      <c r="G19" s="190">
        <f t="shared" si="0"/>
        <v>-3348.3800000000047</v>
      </c>
      <c r="H19" s="197">
        <f t="shared" si="1"/>
        <v>93.00386122974315</v>
      </c>
      <c r="I19" s="198">
        <f t="shared" si="2"/>
        <v>-65387.98</v>
      </c>
      <c r="J19" s="198">
        <f t="shared" si="3"/>
        <v>40.50229299363057</v>
      </c>
      <c r="K19" s="209">
        <f>F19-30116.49</f>
        <v>14395.529999999995</v>
      </c>
      <c r="L19" s="209">
        <f>F19/30116.49*100</f>
        <v>147.79949456261335</v>
      </c>
      <c r="M19" s="197">
        <f>E19-травень!E19</f>
        <v>9800</v>
      </c>
      <c r="N19" s="200">
        <f>F19-травень!F19</f>
        <v>9281.46</v>
      </c>
      <c r="O19" s="201">
        <f t="shared" si="4"/>
        <v>-518.5400000000009</v>
      </c>
      <c r="P19" s="198">
        <f aca="true" t="shared" si="6" ref="P19:P24">N19/M19*100</f>
        <v>94.70877551020406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10">
        <f>F21+F29+F31+F30</f>
        <v>159141.66</v>
      </c>
      <c r="G20" s="190">
        <f t="shared" si="0"/>
        <v>10920.550000000017</v>
      </c>
      <c r="H20" s="197">
        <f t="shared" si="1"/>
        <v>107.36774269198229</v>
      </c>
      <c r="I20" s="198">
        <f t="shared" si="2"/>
        <v>-111798.34</v>
      </c>
      <c r="J20" s="198">
        <f t="shared" si="3"/>
        <v>58.73686425038754</v>
      </c>
      <c r="K20" s="198">
        <f>F20-100444.36</f>
        <v>58697.3</v>
      </c>
      <c r="L20" s="198">
        <f>F20/100444.36*100</f>
        <v>158.4376265626064</v>
      </c>
      <c r="M20" s="197">
        <f>M21+M29+M30+M31</f>
        <v>16992.299999999985</v>
      </c>
      <c r="N20" s="200">
        <f>F20-травень!F20</f>
        <v>18893.400000000023</v>
      </c>
      <c r="O20" s="201">
        <f t="shared" si="4"/>
        <v>1901.1000000000386</v>
      </c>
      <c r="P20" s="198">
        <f t="shared" si="6"/>
        <v>111.18800868628756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211">
        <f>F22+F25+F26</f>
        <v>85994.39</v>
      </c>
      <c r="G21" s="190">
        <f t="shared" si="0"/>
        <v>7851.029999999999</v>
      </c>
      <c r="H21" s="197">
        <f t="shared" si="1"/>
        <v>110.04695728466245</v>
      </c>
      <c r="I21" s="198">
        <f t="shared" si="2"/>
        <v>-75405.61</v>
      </c>
      <c r="J21" s="198">
        <f t="shared" si="3"/>
        <v>53.280291201982656</v>
      </c>
      <c r="K21" s="198">
        <f>F21-54757.32</f>
        <v>31237.07</v>
      </c>
      <c r="L21" s="198">
        <f>F21/54757.32*100</f>
        <v>157.04638210927783</v>
      </c>
      <c r="M21" s="197">
        <f>M22+M25+M26</f>
        <v>13047.099999999999</v>
      </c>
      <c r="N21" s="200">
        <f>F21-травень!F21</f>
        <v>14454.25</v>
      </c>
      <c r="O21" s="201">
        <f t="shared" si="4"/>
        <v>1407.1500000000015</v>
      </c>
      <c r="P21" s="198">
        <f t="shared" si="6"/>
        <v>110.7851553218723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3">
        <v>9233.59</v>
      </c>
      <c r="G22" s="212">
        <f t="shared" si="0"/>
        <v>621.9899999999998</v>
      </c>
      <c r="H22" s="214">
        <f t="shared" si="1"/>
        <v>107.2226996144735</v>
      </c>
      <c r="I22" s="215">
        <f t="shared" si="2"/>
        <v>-9266.41</v>
      </c>
      <c r="J22" s="215">
        <f t="shared" si="3"/>
        <v>49.911297297297295</v>
      </c>
      <c r="K22" s="216">
        <f>F22-4957.1</f>
        <v>4276.49</v>
      </c>
      <c r="L22" s="216">
        <f>F22/4957.1*100</f>
        <v>186.26999657057553</v>
      </c>
      <c r="M22" s="214">
        <f>E22-травень!E22</f>
        <v>240</v>
      </c>
      <c r="N22" s="217">
        <f>F22-травень!F22</f>
        <v>593.4400000000005</v>
      </c>
      <c r="O22" s="218">
        <f t="shared" si="4"/>
        <v>353.4400000000005</v>
      </c>
      <c r="P22" s="215">
        <f t="shared" si="6"/>
        <v>247.26666666666688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3">
        <v>342.1</v>
      </c>
      <c r="G23" s="241">
        <f t="shared" si="0"/>
        <v>-47</v>
      </c>
      <c r="H23" s="242">
        <f t="shared" si="1"/>
        <v>87.92084297095862</v>
      </c>
      <c r="I23" s="243">
        <f t="shared" si="2"/>
        <v>-1657.9</v>
      </c>
      <c r="J23" s="243">
        <f t="shared" si="3"/>
        <v>17.105</v>
      </c>
      <c r="K23" s="244">
        <f>F23-284.18</f>
        <v>57.920000000000016</v>
      </c>
      <c r="L23" s="244">
        <f>F23/284.18*100</f>
        <v>120.38144837778873</v>
      </c>
      <c r="M23" s="239">
        <f>E23-травень!E23</f>
        <v>40</v>
      </c>
      <c r="N23" s="239">
        <f>F23-травень!F23</f>
        <v>78.45000000000005</v>
      </c>
      <c r="O23" s="240">
        <f t="shared" si="4"/>
        <v>38.450000000000045</v>
      </c>
      <c r="P23" s="240">
        <f t="shared" si="6"/>
        <v>196.1250000000001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3">
        <v>8891.49</v>
      </c>
      <c r="G24" s="241">
        <f t="shared" si="0"/>
        <v>668.9899999999998</v>
      </c>
      <c r="H24" s="242">
        <f t="shared" si="1"/>
        <v>108.13608999695956</v>
      </c>
      <c r="I24" s="243">
        <f t="shared" si="2"/>
        <v>-7608.51</v>
      </c>
      <c r="J24" s="243">
        <f t="shared" si="3"/>
        <v>53.88781818181818</v>
      </c>
      <c r="K24" s="244">
        <f>F24-4672.92</f>
        <v>4218.57</v>
      </c>
      <c r="L24" s="244">
        <f>F24/4672.92*100</f>
        <v>190.27695744844763</v>
      </c>
      <c r="M24" s="239">
        <f>E24-травень!E24</f>
        <v>200</v>
      </c>
      <c r="N24" s="239">
        <f>F24-травень!F24</f>
        <v>514.9899999999998</v>
      </c>
      <c r="O24" s="240">
        <f t="shared" si="4"/>
        <v>314.9899999999998</v>
      </c>
      <c r="P24" s="240">
        <f t="shared" si="6"/>
        <v>257.4949999999999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435.05</v>
      </c>
      <c r="G25" s="212">
        <f t="shared" si="0"/>
        <v>158.21000000000004</v>
      </c>
      <c r="H25" s="214">
        <f t="shared" si="1"/>
        <v>157.1485334489236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E25-травень!E25</f>
        <v>0</v>
      </c>
      <c r="N25" s="217">
        <f>F25-травень!F25</f>
        <v>14.970000000000027</v>
      </c>
      <c r="O25" s="218">
        <f t="shared" si="4"/>
        <v>14.970000000000027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3">
        <v>76325.75</v>
      </c>
      <c r="G26" s="212">
        <f t="shared" si="0"/>
        <v>7070.830000000002</v>
      </c>
      <c r="H26" s="214">
        <f t="shared" si="1"/>
        <v>110.2098594583605</v>
      </c>
      <c r="I26" s="215">
        <f t="shared" si="2"/>
        <v>-63774.25</v>
      </c>
      <c r="J26" s="215">
        <f t="shared" si="3"/>
        <v>54.4794789436117</v>
      </c>
      <c r="K26" s="216">
        <f>F26-49589.53</f>
        <v>26736.22</v>
      </c>
      <c r="L26" s="216">
        <f>F26/49589.53*100</f>
        <v>153.9150502132204</v>
      </c>
      <c r="M26" s="214">
        <f>E26-травень!E26</f>
        <v>12807.099999999999</v>
      </c>
      <c r="N26" s="217">
        <f>F26-травень!F26</f>
        <v>13845.839999999997</v>
      </c>
      <c r="O26" s="218">
        <f t="shared" si="4"/>
        <v>1038.739999999998</v>
      </c>
      <c r="P26" s="215">
        <f>N26/M26*100</f>
        <v>108.11065736974021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3">
        <v>23736.85</v>
      </c>
      <c r="G27" s="241">
        <f t="shared" si="0"/>
        <v>4307.0999999999985</v>
      </c>
      <c r="H27" s="242">
        <f t="shared" si="1"/>
        <v>122.16755233597961</v>
      </c>
      <c r="I27" s="243">
        <f t="shared" si="2"/>
        <v>-14320.150000000001</v>
      </c>
      <c r="J27" s="243">
        <f t="shared" si="3"/>
        <v>62.371836981370045</v>
      </c>
      <c r="K27" s="244">
        <f>F27-12926</f>
        <v>10810.849999999999</v>
      </c>
      <c r="L27" s="244">
        <f>F27/12926*100</f>
        <v>183.63646913198204</v>
      </c>
      <c r="M27" s="239">
        <f>E27-12724.05</f>
        <v>6705.700000000001</v>
      </c>
      <c r="N27" s="239">
        <f>F27-15205.9</f>
        <v>8530.949999999999</v>
      </c>
      <c r="O27" s="240">
        <f t="shared" si="4"/>
        <v>1825.2499999999982</v>
      </c>
      <c r="P27" s="240">
        <f>N27/M27*100</f>
        <v>127.2193805270143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3">
        <v>52588.89</v>
      </c>
      <c r="G28" s="241">
        <f t="shared" si="0"/>
        <v>2763.720000000001</v>
      </c>
      <c r="H28" s="242">
        <f t="shared" si="1"/>
        <v>105.54683506348297</v>
      </c>
      <c r="I28" s="243">
        <f t="shared" si="2"/>
        <v>42545.89</v>
      </c>
      <c r="J28" s="243">
        <f t="shared" si="3"/>
        <v>523.6372597829334</v>
      </c>
      <c r="K28" s="244">
        <f>F28-36663.53</f>
        <v>15925.36</v>
      </c>
      <c r="L28" s="244">
        <f>F28/36663.53*100</f>
        <v>143.4365157964877</v>
      </c>
      <c r="M28" s="239">
        <f>E28-32053.77</f>
        <v>17771.399999999998</v>
      </c>
      <c r="N28" s="239">
        <f>F28-34030.56</f>
        <v>18558.33</v>
      </c>
      <c r="O28" s="240">
        <f t="shared" si="4"/>
        <v>786.9300000000039</v>
      </c>
      <c r="P28" s="240">
        <f>N28/M28*100</f>
        <v>104.42806982004798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6">
        <v>55.62</v>
      </c>
      <c r="G29" s="190">
        <f t="shared" si="0"/>
        <v>19.909999999999997</v>
      </c>
      <c r="H29" s="197">
        <f t="shared" si="1"/>
        <v>155.75469056286752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E29-травень!E29</f>
        <v>5.199999999999999</v>
      </c>
      <c r="N29" s="200">
        <f>F29-травень!F29</f>
        <v>4.479999999999997</v>
      </c>
      <c r="O29" s="201">
        <f t="shared" si="4"/>
        <v>-0.7200000000000024</v>
      </c>
      <c r="P29" s="198">
        <f>N29/M29*100</f>
        <v>86.1538461538461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-125.04</v>
      </c>
      <c r="G30" s="190">
        <f t="shared" si="0"/>
        <v>-125.04</v>
      </c>
      <c r="H30" s="197"/>
      <c r="I30" s="198">
        <f t="shared" si="2"/>
        <v>-125.04</v>
      </c>
      <c r="J30" s="198"/>
      <c r="K30" s="198">
        <f>F30-(-403.36)</f>
        <v>278.32</v>
      </c>
      <c r="L30" s="198">
        <f>F30/(-403.36)*100</f>
        <v>30.999603332011105</v>
      </c>
      <c r="M30" s="197">
        <f>E30-травень!E30</f>
        <v>0</v>
      </c>
      <c r="N30" s="200">
        <f>F30-травень!F30</f>
        <v>-15.320000000000007</v>
      </c>
      <c r="O30" s="201">
        <f t="shared" si="4"/>
        <v>-15.320000000000007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3">
        <v>73216.69</v>
      </c>
      <c r="G31" s="202">
        <f t="shared" si="0"/>
        <v>3174.6500000000087</v>
      </c>
      <c r="H31" s="204">
        <f t="shared" si="1"/>
        <v>104.53249220039851</v>
      </c>
      <c r="I31" s="205">
        <f t="shared" si="2"/>
        <v>-36246.31</v>
      </c>
      <c r="J31" s="205">
        <f t="shared" si="3"/>
        <v>66.8871582178453</v>
      </c>
      <c r="K31" s="219">
        <f>F31-46052.97</f>
        <v>27163.72</v>
      </c>
      <c r="L31" s="219">
        <f>F31/46052.97*100</f>
        <v>158.98364426876267</v>
      </c>
      <c r="M31" s="197">
        <f>E31-травень!E31</f>
        <v>3939.9999999999854</v>
      </c>
      <c r="N31" s="200">
        <f>F31-травень!F31</f>
        <v>4449.990000000005</v>
      </c>
      <c r="O31" s="207">
        <f t="shared" si="4"/>
        <v>509.9900000000198</v>
      </c>
      <c r="P31" s="205">
        <f>N31/M31*100</f>
        <v>112.94390862944216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71">
        <v>18313.06</v>
      </c>
      <c r="G33" s="109">
        <f t="shared" si="0"/>
        <v>617.0900000000001</v>
      </c>
      <c r="H33" s="111">
        <f t="shared" si="1"/>
        <v>103.48717815412209</v>
      </c>
      <c r="I33" s="110">
        <f t="shared" si="2"/>
        <v>-9286.939999999999</v>
      </c>
      <c r="J33" s="110">
        <f t="shared" si="3"/>
        <v>66.35166666666667</v>
      </c>
      <c r="K33" s="142">
        <f>F33-11423.16</f>
        <v>6889.9000000000015</v>
      </c>
      <c r="L33" s="142">
        <f>F33/11423.16*100</f>
        <v>160.3151842397375</v>
      </c>
      <c r="M33" s="111">
        <f>E33-травень!E33</f>
        <v>940</v>
      </c>
      <c r="N33" s="179">
        <f>F33-травень!F33</f>
        <v>761</v>
      </c>
      <c r="O33" s="112">
        <f t="shared" si="4"/>
        <v>-179</v>
      </c>
      <c r="P33" s="110">
        <f>N33/M33*100</f>
        <v>80.95744680851064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71">
        <v>54889.45</v>
      </c>
      <c r="G34" s="109">
        <f t="shared" si="0"/>
        <v>2553.3699999999953</v>
      </c>
      <c r="H34" s="111">
        <f t="shared" si="1"/>
        <v>104.87879489636975</v>
      </c>
      <c r="I34" s="110">
        <f t="shared" si="2"/>
        <v>-26922.550000000003</v>
      </c>
      <c r="J34" s="110">
        <f t="shared" si="3"/>
        <v>67.09217474209163</v>
      </c>
      <c r="K34" s="142">
        <f>F34-34622.85</f>
        <v>20266.6</v>
      </c>
      <c r="L34" s="142">
        <f>F34/34622.85*100</f>
        <v>158.5353314357426</v>
      </c>
      <c r="M34" s="111">
        <f>E34-травень!E34</f>
        <v>3000</v>
      </c>
      <c r="N34" s="179">
        <f>F34-травень!F34</f>
        <v>3688.989999999998</v>
      </c>
      <c r="O34" s="112">
        <f t="shared" si="4"/>
        <v>688.989999999998</v>
      </c>
      <c r="P34" s="110">
        <f>N34/M34*100</f>
        <v>122.96633333333327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191">
        <f>F38+F39+F40+F41+F42+F44+F46+F47+F48+F49+F50+F55+F56+F60+F43</f>
        <v>29260.649999999994</v>
      </c>
      <c r="G37" s="191">
        <f>G38+G39+G40+G41+G42+G44+G46+G47+G48+G49+G50+G55+G56+G60</f>
        <v>7749.02</v>
      </c>
      <c r="H37" s="192">
        <f>F37/E37*100</f>
        <v>136.10851785024022</v>
      </c>
      <c r="I37" s="193">
        <f>F37-D37</f>
        <v>-13559.350000000006</v>
      </c>
      <c r="J37" s="193">
        <f>F37/D37*100</f>
        <v>68.33407286314804</v>
      </c>
      <c r="K37" s="191">
        <f>F37-15873</f>
        <v>13387.649999999994</v>
      </c>
      <c r="L37" s="191">
        <f>F37/15873*100</f>
        <v>184.3422793422793</v>
      </c>
      <c r="M37" s="191">
        <f>M38+M39+M40+M41+M42+M44+M46+M47+M48+M49+M50+M55+M56+M60</f>
        <v>3691.0000000000005</v>
      </c>
      <c r="N37" s="191">
        <f>N38+N39+N40+N41+N42+N44+N46+N47+N48+N49+N50+N55+N56+N60+N43</f>
        <v>6420.2300000000005</v>
      </c>
      <c r="O37" s="191">
        <f>O38+O39+O40+O41+O42+O44+O46+O47+O48+O49+O50+O55+O56+O60</f>
        <v>2722.4300000000007</v>
      </c>
      <c r="P37" s="191">
        <f>N37/M37*100</f>
        <v>173.94283392034677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6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6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6">
        <v>28.07</v>
      </c>
      <c r="G40" s="202">
        <f t="shared" si="9"/>
        <v>-83.37</v>
      </c>
      <c r="H40" s="204">
        <f t="shared" si="7"/>
        <v>25.18844221105528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E40-травень!E40</f>
        <v>20</v>
      </c>
      <c r="N40" s="208">
        <f>F40-травень!F40</f>
        <v>0.5599999999999987</v>
      </c>
      <c r="O40" s="207">
        <f t="shared" si="11"/>
        <v>-19.44</v>
      </c>
      <c r="P40" s="205">
        <f t="shared" si="8"/>
        <v>2.7999999999999936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6">
        <v>60.97</v>
      </c>
      <c r="G42" s="202">
        <f t="shared" si="9"/>
        <v>0.9699999999999989</v>
      </c>
      <c r="H42" s="204">
        <f t="shared" si="7"/>
        <v>101.61666666666666</v>
      </c>
      <c r="I42" s="205">
        <f t="shared" si="10"/>
        <v>-89.03</v>
      </c>
      <c r="J42" s="205">
        <f t="shared" si="12"/>
        <v>40.64666666666666</v>
      </c>
      <c r="K42" s="205">
        <f>F42-81.62</f>
        <v>-20.650000000000006</v>
      </c>
      <c r="L42" s="205">
        <f>F42/81.62*100</f>
        <v>74.69982847341338</v>
      </c>
      <c r="M42" s="204">
        <f>E42-травень!E42</f>
        <v>10</v>
      </c>
      <c r="N42" s="208">
        <f>F42-травень!F42</f>
        <v>10.57</v>
      </c>
      <c r="O42" s="207">
        <f t="shared" si="11"/>
        <v>0.5700000000000003</v>
      </c>
      <c r="P42" s="205">
        <f t="shared" si="8"/>
        <v>105.69999999999999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E43-травень!E43</f>
        <v>0</v>
      </c>
      <c r="N43" s="208">
        <f>F43-травень!F43</f>
        <v>6.8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40</v>
      </c>
      <c r="F44" s="196">
        <v>168.08</v>
      </c>
      <c r="G44" s="202">
        <f t="shared" si="9"/>
        <v>128.08</v>
      </c>
      <c r="H44" s="204">
        <f t="shared" si="7"/>
        <v>420.2</v>
      </c>
      <c r="I44" s="205">
        <f t="shared" si="10"/>
        <v>78.08000000000001</v>
      </c>
      <c r="J44" s="205">
        <f t="shared" si="12"/>
        <v>186.75555555555556</v>
      </c>
      <c r="K44" s="205">
        <f>F44-0</f>
        <v>168.08</v>
      </c>
      <c r="L44" s="205"/>
      <c r="M44" s="204">
        <f>E44-травень!E44</f>
        <v>8</v>
      </c>
      <c r="N44" s="208">
        <f>F44-травень!F44</f>
        <v>91.75000000000001</v>
      </c>
      <c r="O44" s="207">
        <f t="shared" si="11"/>
        <v>83.75000000000001</v>
      </c>
      <c r="P44" s="205">
        <f t="shared" si="8"/>
        <v>1146.8750000000002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6">
        <v>5001.06</v>
      </c>
      <c r="G46" s="202">
        <f t="shared" si="9"/>
        <v>462.03999999999996</v>
      </c>
      <c r="H46" s="204">
        <f t="shared" si="7"/>
        <v>110.17928980264462</v>
      </c>
      <c r="I46" s="205">
        <f t="shared" si="10"/>
        <v>-4898.94</v>
      </c>
      <c r="J46" s="205">
        <f t="shared" si="12"/>
        <v>50.51575757575758</v>
      </c>
      <c r="K46" s="205">
        <f>F46-4927.6</f>
        <v>73.46000000000004</v>
      </c>
      <c r="L46" s="205">
        <f>F46/4927.6*100</f>
        <v>101.4907865898206</v>
      </c>
      <c r="M46" s="204">
        <f>E46-травень!E46</f>
        <v>800.0000000000005</v>
      </c>
      <c r="N46" s="208">
        <f>F46-травень!F46</f>
        <v>943.6500000000005</v>
      </c>
      <c r="O46" s="207">
        <f t="shared" si="11"/>
        <v>143.6500000000001</v>
      </c>
      <c r="P46" s="205">
        <f t="shared" si="8"/>
        <v>117.95625000000001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650</v>
      </c>
      <c r="F47" s="196">
        <v>68.92</v>
      </c>
      <c r="G47" s="202">
        <f t="shared" si="9"/>
        <v>-581.08</v>
      </c>
      <c r="H47" s="204">
        <f t="shared" si="7"/>
        <v>10.603076923076923</v>
      </c>
      <c r="I47" s="205">
        <f t="shared" si="10"/>
        <v>-1431.08</v>
      </c>
      <c r="J47" s="205">
        <f t="shared" si="12"/>
        <v>4.594666666666667</v>
      </c>
      <c r="K47" s="205">
        <f>F47-0</f>
        <v>68.92</v>
      </c>
      <c r="L47" s="205"/>
      <c r="M47" s="204">
        <f>E47-травень!E47</f>
        <v>130</v>
      </c>
      <c r="N47" s="208">
        <f>F47-травень!F47</f>
        <v>34.99</v>
      </c>
      <c r="O47" s="207">
        <f t="shared" si="11"/>
        <v>-95.00999999999999</v>
      </c>
      <c r="P47" s="205">
        <f t="shared" si="8"/>
        <v>26.915384615384617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20</v>
      </c>
      <c r="F48" s="196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6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6">
        <v>3094.63</v>
      </c>
      <c r="G50" s="202">
        <f t="shared" si="9"/>
        <v>-124.55999999999995</v>
      </c>
      <c r="H50" s="204">
        <f t="shared" si="7"/>
        <v>96.13070368633103</v>
      </c>
      <c r="I50" s="205">
        <f t="shared" si="10"/>
        <v>-4205.37</v>
      </c>
      <c r="J50" s="205">
        <f t="shared" si="12"/>
        <v>42.39219178082192</v>
      </c>
      <c r="K50" s="205">
        <f>F50-4033.24</f>
        <v>-938.6099999999997</v>
      </c>
      <c r="L50" s="205">
        <f>F50/4033.24*100</f>
        <v>76.7281391635509</v>
      </c>
      <c r="M50" s="204">
        <f>E50-травень!E50</f>
        <v>666</v>
      </c>
      <c r="N50" s="208">
        <f>F50-травень!F50</f>
        <v>521.1700000000001</v>
      </c>
      <c r="O50" s="207">
        <f t="shared" si="11"/>
        <v>-144.82999999999993</v>
      </c>
      <c r="P50" s="205">
        <f t="shared" si="8"/>
        <v>78.25375375375376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71">
        <v>420.67</v>
      </c>
      <c r="G51" s="36">
        <f t="shared" si="9"/>
        <v>-131.32</v>
      </c>
      <c r="H51" s="32">
        <f t="shared" si="7"/>
        <v>76.2097139440932</v>
      </c>
      <c r="I51" s="110">
        <f t="shared" si="10"/>
        <v>-679.3299999999999</v>
      </c>
      <c r="J51" s="110">
        <f t="shared" si="12"/>
        <v>38.24272727272727</v>
      </c>
      <c r="K51" s="110">
        <f>F51-582.74</f>
        <v>-162.07</v>
      </c>
      <c r="L51" s="110">
        <f>F51/582.74*100</f>
        <v>72.18828293921817</v>
      </c>
      <c r="M51" s="111">
        <f>E51-травень!E51</f>
        <v>185</v>
      </c>
      <c r="N51" s="179">
        <f>F51-травень!F51</f>
        <v>53.120000000000005</v>
      </c>
      <c r="O51" s="112">
        <f t="shared" si="11"/>
        <v>-131.88</v>
      </c>
      <c r="P51" s="132">
        <f t="shared" si="8"/>
        <v>28.713513513513515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71">
        <v>0.24</v>
      </c>
      <c r="G52" s="36">
        <f t="shared" si="9"/>
        <v>-4.8</v>
      </c>
      <c r="H52" s="32">
        <f t="shared" si="7"/>
        <v>4.761904761904762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E52-травень!E52</f>
        <v>1</v>
      </c>
      <c r="N52" s="179">
        <f>F52-травень!F52</f>
        <v>0.009999999999999981</v>
      </c>
      <c r="O52" s="112">
        <f t="shared" si="11"/>
        <v>-0.99</v>
      </c>
      <c r="P52" s="132">
        <f t="shared" si="8"/>
        <v>0.9999999999999981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71">
        <v>2673.71</v>
      </c>
      <c r="G54" s="36">
        <f t="shared" si="9"/>
        <v>11.539999999999964</v>
      </c>
      <c r="H54" s="32">
        <f t="shared" si="7"/>
        <v>100.43348095726418</v>
      </c>
      <c r="I54" s="110">
        <f t="shared" si="10"/>
        <v>-3480.29</v>
      </c>
      <c r="J54" s="110">
        <f t="shared" si="12"/>
        <v>43.44670133246669</v>
      </c>
      <c r="K54" s="110">
        <f>F54-3404.6</f>
        <v>-730.8899999999999</v>
      </c>
      <c r="L54" s="110">
        <f>F54/3404.6*100</f>
        <v>78.53227985666452</v>
      </c>
      <c r="M54" s="111">
        <f>E54-травень!E54</f>
        <v>480</v>
      </c>
      <c r="N54" s="179">
        <f>F54-травень!F54</f>
        <v>468.03999999999996</v>
      </c>
      <c r="O54" s="112">
        <f t="shared" si="11"/>
        <v>-11.960000000000036</v>
      </c>
      <c r="P54" s="132">
        <f t="shared" si="8"/>
        <v>97.50833333333333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6">
        <v>2709.14</v>
      </c>
      <c r="G56" s="202">
        <f t="shared" si="9"/>
        <v>441.15999999999985</v>
      </c>
      <c r="H56" s="204">
        <f t="shared" si="7"/>
        <v>119.45167064965298</v>
      </c>
      <c r="I56" s="205">
        <f t="shared" si="10"/>
        <v>-2090.86</v>
      </c>
      <c r="J56" s="205">
        <f t="shared" si="12"/>
        <v>56.44041666666666</v>
      </c>
      <c r="K56" s="205">
        <f>F56-2236.15</f>
        <v>472.9899999999998</v>
      </c>
      <c r="L56" s="205">
        <f>F56/2236.15*100</f>
        <v>121.15197996556581</v>
      </c>
      <c r="M56" s="204">
        <f>E56-травень!E56</f>
        <v>400</v>
      </c>
      <c r="N56" s="208">
        <f>F56-травень!F56</f>
        <v>389.02999999999975</v>
      </c>
      <c r="O56" s="207">
        <f t="shared" si="11"/>
        <v>-10.970000000000255</v>
      </c>
      <c r="P56" s="205">
        <f t="shared" si="8"/>
        <v>97.25749999999994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f>591.66+0.6</f>
        <v>592.26</v>
      </c>
      <c r="G58" s="202"/>
      <c r="H58" s="204"/>
      <c r="I58" s="205"/>
      <c r="J58" s="205"/>
      <c r="K58" s="206">
        <f>F58-577.4</f>
        <v>14.860000000000014</v>
      </c>
      <c r="L58" s="206">
        <f>F58/577.4*100</f>
        <v>102.57360581918947</v>
      </c>
      <c r="M58" s="236"/>
      <c r="N58" s="220">
        <f>F58-травень!F58</f>
        <v>113.58999999999997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6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191">
        <f>F8+F37+F61+F62</f>
        <v>494786</v>
      </c>
      <c r="G63" s="191">
        <f>F63-E63</f>
        <v>53039.99000000005</v>
      </c>
      <c r="H63" s="192">
        <f>F63/E63*100</f>
        <v>112.00689735714874</v>
      </c>
      <c r="I63" s="193">
        <f>F63-D63</f>
        <v>-389114.6</v>
      </c>
      <c r="J63" s="193">
        <f>F63/D63*100</f>
        <v>55.97756127781789</v>
      </c>
      <c r="K63" s="193">
        <f>F63-320998.67</f>
        <v>173787.33000000002</v>
      </c>
      <c r="L63" s="193">
        <f>F63/320998.67*100</f>
        <v>154.13957945682455</v>
      </c>
      <c r="M63" s="191">
        <f>M8+M37+M61+M62</f>
        <v>71492.59999999999</v>
      </c>
      <c r="N63" s="191">
        <f>N8+N37+N61+N62</f>
        <v>96936.71</v>
      </c>
      <c r="O63" s="195">
        <f>N63-M63</f>
        <v>25444.110000000015</v>
      </c>
      <c r="P63" s="193">
        <f>N63/M63*100</f>
        <v>135.58985125733295</v>
      </c>
      <c r="Q63" s="28">
        <f>N63-34768</f>
        <v>62168.71000000001</v>
      </c>
      <c r="R63" s="128">
        <f>N63/34768</f>
        <v>2.78810141509434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F69-травень!F69</f>
        <v>-2.03</v>
      </c>
      <c r="O69" s="207">
        <f>N69-M69</f>
        <v>-2.03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-2.03</v>
      </c>
      <c r="O70" s="228">
        <f>N70-M70</f>
        <v>-2.03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2">
        <v>1042.02</v>
      </c>
      <c r="G72" s="202">
        <f aca="true" t="shared" si="13" ref="G72:G82">F72-E72</f>
        <v>-370.98</v>
      </c>
      <c r="H72" s="204"/>
      <c r="I72" s="207">
        <f aca="true" t="shared" si="14" ref="I72:I82">F72-D72</f>
        <v>-3157.98</v>
      </c>
      <c r="J72" s="207">
        <f>F72/D72*100</f>
        <v>24.81</v>
      </c>
      <c r="K72" s="207">
        <f>F72-194</f>
        <v>848.02</v>
      </c>
      <c r="L72" s="207">
        <f>F72/194*100</f>
        <v>537.1237113402062</v>
      </c>
      <c r="M72" s="204">
        <f>E72-травень!E72</f>
        <v>500</v>
      </c>
      <c r="N72" s="208">
        <f>F72-травень!F72</f>
        <v>0.049999999999954525</v>
      </c>
      <c r="O72" s="207">
        <f aca="true" t="shared" si="15" ref="O72:O85">N72-M72</f>
        <v>-499.95000000000005</v>
      </c>
      <c r="P72" s="207">
        <f>N72/M72*100</f>
        <v>0.009999999999990905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2">
        <v>936.04</v>
      </c>
      <c r="G73" s="202">
        <f t="shared" si="13"/>
        <v>-1297.67</v>
      </c>
      <c r="H73" s="204">
        <f>F73/E73*100</f>
        <v>41.90517121739169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E73-травень!E73</f>
        <v>282.60000000000014</v>
      </c>
      <c r="N73" s="208">
        <f>F73-травень!F73</f>
        <v>66.80999999999995</v>
      </c>
      <c r="O73" s="207">
        <f t="shared" si="15"/>
        <v>-215.7900000000002</v>
      </c>
      <c r="P73" s="207">
        <f>N73/M73*100</f>
        <v>23.641188959660266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2">
        <v>9374.51</v>
      </c>
      <c r="G74" s="202">
        <f t="shared" si="13"/>
        <v>7581.66</v>
      </c>
      <c r="H74" s="204">
        <f>F74/E74*100</f>
        <v>522.8831190562513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E74-травень!E74</f>
        <v>302</v>
      </c>
      <c r="N74" s="208">
        <f>F74-травень!F74</f>
        <v>261.1200000000008</v>
      </c>
      <c r="O74" s="207">
        <f t="shared" si="15"/>
        <v>-40.8799999999992</v>
      </c>
      <c r="P74" s="207">
        <f>N74/M74*100</f>
        <v>86.46357615894065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2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5">
        <f>F72+F73+F74+F75</f>
        <v>11358.57</v>
      </c>
      <c r="G76" s="226">
        <f t="shared" si="13"/>
        <v>5913.01</v>
      </c>
      <c r="H76" s="227">
        <f>F76/E76*100</f>
        <v>208.5840574706734</v>
      </c>
      <c r="I76" s="228">
        <f t="shared" si="14"/>
        <v>-6312.43</v>
      </c>
      <c r="J76" s="228">
        <f>F76/D76*100</f>
        <v>64.27802614453059</v>
      </c>
      <c r="K76" s="228">
        <f>F76-5269.49</f>
        <v>6089.08</v>
      </c>
      <c r="L76" s="228">
        <f>F76/5269.49*100</f>
        <v>215.553497587053</v>
      </c>
      <c r="M76" s="226">
        <f>M72+M73+M74+M75</f>
        <v>1085.6000000000001</v>
      </c>
      <c r="N76" s="230">
        <f>N72+N73+N74+N75</f>
        <v>328.9800000000007</v>
      </c>
      <c r="O76" s="228">
        <f t="shared" si="15"/>
        <v>-756.6199999999994</v>
      </c>
      <c r="P76" s="228">
        <f>N76/M76*100</f>
        <v>30.30397936624914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E77-травень!E77</f>
        <v>0</v>
      </c>
      <c r="N77" s="208">
        <f>F77-травень!F77</f>
        <v>0.79</v>
      </c>
      <c r="O77" s="207">
        <f t="shared" si="15"/>
        <v>0.79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2">
        <v>4890.44</v>
      </c>
      <c r="G79" s="202">
        <f t="shared" si="13"/>
        <v>-226.86000000000058</v>
      </c>
      <c r="H79" s="204">
        <f>F79/E79*100</f>
        <v>95.5668028061673</v>
      </c>
      <c r="I79" s="207">
        <f t="shared" si="14"/>
        <v>-4609.56</v>
      </c>
      <c r="J79" s="207">
        <f>F79/D79*100</f>
        <v>51.47831578947368</v>
      </c>
      <c r="K79" s="207">
        <f>F79-0</f>
        <v>4890.44</v>
      </c>
      <c r="L79" s="207"/>
      <c r="M79" s="204">
        <f>E79-травень!E79</f>
        <v>0.3000000000001819</v>
      </c>
      <c r="N79" s="208">
        <f>F79-травень!F79</f>
        <v>2.6699999999991633</v>
      </c>
      <c r="O79" s="207">
        <f>N79-M79</f>
        <v>2.3699999999989814</v>
      </c>
      <c r="P79" s="231">
        <f>N79/M79*100</f>
        <v>889.9999999991815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E80-травень!E80</f>
        <v>0</v>
      </c>
      <c r="N80" s="208">
        <f>F80-травень!F80</f>
        <v>0.1200000000000001</v>
      </c>
      <c r="O80" s="207">
        <f t="shared" si="15"/>
        <v>0.1200000000000001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5">
        <f>F77+F80+F78+F79</f>
        <v>4896.44</v>
      </c>
      <c r="G81" s="224">
        <f>G77+G80+G78+G79</f>
        <v>-220.86000000000058</v>
      </c>
      <c r="H81" s="227">
        <f>F81/E81*100</f>
        <v>95.68405213686904</v>
      </c>
      <c r="I81" s="228">
        <f t="shared" si="14"/>
        <v>-4604.56</v>
      </c>
      <c r="J81" s="228">
        <f>F81/D81*100</f>
        <v>51.53604883696452</v>
      </c>
      <c r="K81" s="228">
        <f>F81-1.06</f>
        <v>4895.379999999999</v>
      </c>
      <c r="L81" s="228">
        <f>F81/1.06*100</f>
        <v>461928.30188679235</v>
      </c>
      <c r="M81" s="226">
        <f>M77+M80+M78+M79</f>
        <v>0.3000000000001819</v>
      </c>
      <c r="N81" s="230">
        <f>N77+N80+N78+N79</f>
        <v>3.5799999999991634</v>
      </c>
      <c r="O81" s="226">
        <f>O77+O80+O78+O79</f>
        <v>3.2799999999989815</v>
      </c>
      <c r="P81" s="228">
        <f>N81/M81*100</f>
        <v>1193.333333332331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2">
        <v>18.25</v>
      </c>
      <c r="G82" s="202">
        <f t="shared" si="13"/>
        <v>-1.4499999999999993</v>
      </c>
      <c r="H82" s="204">
        <f>F82/E82*100</f>
        <v>92.63959390862945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E82-травень!E82</f>
        <v>5.899999999999999</v>
      </c>
      <c r="N82" s="208">
        <f>F82-травень!F82</f>
        <v>9.06</v>
      </c>
      <c r="O82" s="207">
        <f t="shared" si="15"/>
        <v>3.160000000000002</v>
      </c>
      <c r="P82" s="207">
        <f>N82/M82</f>
        <v>1.5355932203389835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32">
        <f>F70+F82+F76+F81+F83</f>
        <v>16270.969999999998</v>
      </c>
      <c r="G84" s="233">
        <f>F84-E84</f>
        <v>5688.409999999998</v>
      </c>
      <c r="H84" s="234">
        <f>F84/E84*100</f>
        <v>153.75268366066433</v>
      </c>
      <c r="I84" s="235">
        <f>F84-D84</f>
        <v>-10944.030000000002</v>
      </c>
      <c r="J84" s="235">
        <f>F84/D84*100</f>
        <v>59.78677200073488</v>
      </c>
      <c r="K84" s="235">
        <f>F84-5259.67</f>
        <v>11011.299999999997</v>
      </c>
      <c r="L84" s="235">
        <f>F84/5259.67*100</f>
        <v>309.3534385237096</v>
      </c>
      <c r="M84" s="232">
        <f>M70+M82+M76+M81</f>
        <v>1091.8000000000004</v>
      </c>
      <c r="N84" s="232">
        <f>N70+N82+N76+N81+N83</f>
        <v>339.58999999999986</v>
      </c>
      <c r="O84" s="235">
        <f t="shared" si="15"/>
        <v>-752.2100000000005</v>
      </c>
      <c r="P84" s="235">
        <f>N84/M84*100</f>
        <v>31.103681993038997</v>
      </c>
      <c r="Q84" s="28">
        <f>N84-8104.96</f>
        <v>-7765.37</v>
      </c>
      <c r="R84" s="101">
        <f>N84/8104.96</f>
        <v>0.04189903466519265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32">
        <f>F63+F84</f>
        <v>511056.97</v>
      </c>
      <c r="G85" s="233">
        <f>F85-E85</f>
        <v>58728.40000000002</v>
      </c>
      <c r="H85" s="234">
        <f>F85/E85*100</f>
        <v>112.98357077024784</v>
      </c>
      <c r="I85" s="235">
        <f>F85-D85</f>
        <v>-400058.63</v>
      </c>
      <c r="J85" s="235">
        <f>F85/D85*100</f>
        <v>56.09134230606961</v>
      </c>
      <c r="K85" s="235">
        <f>F85-320998.67-5259.67</f>
        <v>184798.62999999998</v>
      </c>
      <c r="L85" s="235">
        <f>F85/(265734.15+4325.48)*100</f>
        <v>189.23856557161096</v>
      </c>
      <c r="M85" s="233">
        <f>M63+M84</f>
        <v>72584.4</v>
      </c>
      <c r="N85" s="233">
        <f>N63+N84</f>
        <v>97276.3</v>
      </c>
      <c r="O85" s="235">
        <f t="shared" si="15"/>
        <v>24691.90000000001</v>
      </c>
      <c r="P85" s="235">
        <f>N85/M85*100</f>
        <v>134.0181912366845</v>
      </c>
      <c r="Q85" s="28">
        <f>N85-42872.96</f>
        <v>54403.340000000004</v>
      </c>
      <c r="R85" s="101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256"/>
      <c r="O89" s="256"/>
    </row>
    <row r="90" spans="3:15" ht="15">
      <c r="C90" s="87">
        <v>42550</v>
      </c>
      <c r="D90" s="31">
        <v>11029.3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42545</v>
      </c>
      <c r="D91" s="31">
        <v>6499.7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9447.89588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247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99" ht="15">
      <c r="N99" s="31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.11811023622047245" bottom="0.11811023622047245" header="0.1968503937007874" footer="0.11811023622047245"/>
  <pageSetup fitToHeight="2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9" sqref="N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168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162</v>
      </c>
      <c r="N3" s="281" t="s">
        <v>163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158</v>
      </c>
      <c r="F4" s="284" t="s">
        <v>34</v>
      </c>
      <c r="G4" s="258" t="s">
        <v>159</v>
      </c>
      <c r="H4" s="266" t="s">
        <v>160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169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161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56"/>
      <c r="O89" s="256"/>
    </row>
    <row r="90" spans="3:15" ht="15">
      <c r="C90" s="87">
        <v>42520</v>
      </c>
      <c r="D90" s="31">
        <v>8891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42517</v>
      </c>
      <c r="D91" s="31">
        <v>7356.3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2811.04042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156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153</v>
      </c>
      <c r="N3" s="281" t="s">
        <v>154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150</v>
      </c>
      <c r="F4" s="284" t="s">
        <v>34</v>
      </c>
      <c r="G4" s="258" t="s">
        <v>151</v>
      </c>
      <c r="H4" s="266" t="s">
        <v>152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157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155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63"/>
      <c r="H84" s="263"/>
      <c r="I84" s="263"/>
      <c r="J84" s="263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56"/>
      <c r="O85" s="256"/>
    </row>
    <row r="86" spans="3:15" ht="15">
      <c r="C86" s="87">
        <v>42488</v>
      </c>
      <c r="D86" s="31">
        <v>11419.7</v>
      </c>
      <c r="F86" s="124" t="s">
        <v>59</v>
      </c>
      <c r="G86" s="250"/>
      <c r="H86" s="250"/>
      <c r="I86" s="131"/>
      <c r="J86" s="253"/>
      <c r="K86" s="253"/>
      <c r="L86" s="253"/>
      <c r="M86" s="253"/>
      <c r="N86" s="256"/>
      <c r="O86" s="256"/>
    </row>
    <row r="87" spans="3:15" ht="15.75" customHeight="1">
      <c r="C87" s="87">
        <v>42487</v>
      </c>
      <c r="D87" s="31">
        <v>7800.7</v>
      </c>
      <c r="F87" s="73"/>
      <c r="G87" s="250"/>
      <c r="H87" s="250"/>
      <c r="I87" s="131"/>
      <c r="J87" s="257"/>
      <c r="K87" s="257"/>
      <c r="L87" s="257"/>
      <c r="M87" s="257"/>
      <c r="N87" s="256"/>
      <c r="O87" s="256"/>
    </row>
    <row r="88" spans="3:13" ht="15.75" customHeight="1">
      <c r="C88" s="87"/>
      <c r="F88" s="73"/>
      <c r="G88" s="252"/>
      <c r="H88" s="252"/>
      <c r="I88" s="139"/>
      <c r="J88" s="253"/>
      <c r="K88" s="253"/>
      <c r="L88" s="253"/>
      <c r="M88" s="253"/>
    </row>
    <row r="89" spans="2:13" ht="18.75" customHeight="1">
      <c r="B89" s="254" t="s">
        <v>57</v>
      </c>
      <c r="C89" s="255"/>
      <c r="D89" s="148">
        <v>9087.9705</v>
      </c>
      <c r="E89" s="74"/>
      <c r="F89" s="140" t="s">
        <v>137</v>
      </c>
      <c r="G89" s="250"/>
      <c r="H89" s="250"/>
      <c r="I89" s="141"/>
      <c r="J89" s="253"/>
      <c r="K89" s="253"/>
      <c r="L89" s="253"/>
      <c r="M89" s="253"/>
    </row>
    <row r="90" spans="6:12" ht="9.75" customHeight="1">
      <c r="F90" s="73"/>
      <c r="G90" s="250"/>
      <c r="H90" s="250"/>
      <c r="I90" s="73"/>
      <c r="J90" s="74"/>
      <c r="K90" s="74"/>
      <c r="L90" s="74"/>
    </row>
    <row r="91" spans="2:12" ht="22.5" customHeight="1" hidden="1">
      <c r="B91" s="248" t="s">
        <v>60</v>
      </c>
      <c r="C91" s="249"/>
      <c r="D91" s="86">
        <v>0</v>
      </c>
      <c r="E91" s="56" t="s">
        <v>24</v>
      </c>
      <c r="F91" s="73"/>
      <c r="G91" s="250"/>
      <c r="H91" s="25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50"/>
      <c r="O92" s="250"/>
    </row>
    <row r="93" spans="4:15" ht="15">
      <c r="D93" s="83"/>
      <c r="I93" s="31"/>
      <c r="N93" s="251"/>
      <c r="O93" s="251"/>
    </row>
    <row r="94" spans="14:15" ht="15">
      <c r="N94" s="250"/>
      <c r="O94" s="250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148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147</v>
      </c>
      <c r="N3" s="281" t="s">
        <v>143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146</v>
      </c>
      <c r="F4" s="284" t="s">
        <v>34</v>
      </c>
      <c r="G4" s="258" t="s">
        <v>141</v>
      </c>
      <c r="H4" s="266" t="s">
        <v>142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144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56"/>
      <c r="O84" s="256"/>
    </row>
    <row r="85" spans="3:15" ht="15">
      <c r="C85" s="87">
        <v>42459</v>
      </c>
      <c r="D85" s="31">
        <v>7576.3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42458</v>
      </c>
      <c r="D86" s="31">
        <v>9190.1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f>4343.7</f>
        <v>4343.7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139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128</v>
      </c>
      <c r="N3" s="281" t="s">
        <v>119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127</v>
      </c>
      <c r="F4" s="284" t="s">
        <v>34</v>
      </c>
      <c r="G4" s="258" t="s">
        <v>116</v>
      </c>
      <c r="H4" s="266" t="s">
        <v>117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140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118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56"/>
      <c r="O84" s="256"/>
    </row>
    <row r="85" spans="3:15" ht="15">
      <c r="C85" s="87">
        <v>42426</v>
      </c>
      <c r="D85" s="31">
        <v>6256.2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42425</v>
      </c>
      <c r="D86" s="31">
        <v>3536.9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505.3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135</v>
      </c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132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129</v>
      </c>
      <c r="F4" s="284" t="s">
        <v>34</v>
      </c>
      <c r="G4" s="258" t="s">
        <v>130</v>
      </c>
      <c r="H4" s="266" t="s">
        <v>131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88" t="s">
        <v>133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134</v>
      </c>
      <c r="L5" s="262"/>
      <c r="M5" s="267"/>
      <c r="N5" s="28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56"/>
      <c r="O84" s="256"/>
    </row>
    <row r="85" spans="3:15" ht="15">
      <c r="C85" s="87">
        <v>42397</v>
      </c>
      <c r="D85" s="31">
        <v>8685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42396</v>
      </c>
      <c r="D86" s="31">
        <v>4820.3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300.92</v>
      </c>
      <c r="E88" s="74"/>
      <c r="F88" s="140"/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136</v>
      </c>
      <c r="C3" s="275" t="s">
        <v>0</v>
      </c>
      <c r="D3" s="276" t="s">
        <v>115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107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104</v>
      </c>
      <c r="F4" s="290" t="s">
        <v>34</v>
      </c>
      <c r="G4" s="258" t="s">
        <v>109</v>
      </c>
      <c r="H4" s="266" t="s">
        <v>110</v>
      </c>
      <c r="I4" s="258" t="s">
        <v>105</v>
      </c>
      <c r="J4" s="266" t="s">
        <v>106</v>
      </c>
      <c r="K4" s="91" t="s">
        <v>65</v>
      </c>
      <c r="L4" s="96" t="s">
        <v>64</v>
      </c>
      <c r="M4" s="266"/>
      <c r="N4" s="288" t="s">
        <v>103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6.5" customHeight="1">
      <c r="A5" s="273"/>
      <c r="B5" s="274"/>
      <c r="C5" s="275"/>
      <c r="D5" s="276"/>
      <c r="E5" s="283"/>
      <c r="F5" s="291"/>
      <c r="G5" s="259"/>
      <c r="H5" s="267"/>
      <c r="I5" s="259"/>
      <c r="J5" s="267"/>
      <c r="K5" s="261" t="s">
        <v>108</v>
      </c>
      <c r="L5" s="262"/>
      <c r="M5" s="267"/>
      <c r="N5" s="289"/>
      <c r="O5" s="259"/>
      <c r="P5" s="260"/>
      <c r="Q5" s="261" t="s">
        <v>126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63"/>
      <c r="H82" s="263"/>
      <c r="I82" s="263"/>
      <c r="J82" s="263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56"/>
      <c r="O83" s="256"/>
    </row>
    <row r="84" spans="3:15" ht="15">
      <c r="C84" s="87">
        <v>42397</v>
      </c>
      <c r="D84" s="31">
        <v>8685</v>
      </c>
      <c r="F84" s="166" t="s">
        <v>59</v>
      </c>
      <c r="G84" s="250"/>
      <c r="H84" s="250"/>
      <c r="I84" s="131"/>
      <c r="J84" s="253"/>
      <c r="K84" s="253"/>
      <c r="L84" s="253"/>
      <c r="M84" s="253"/>
      <c r="N84" s="256"/>
      <c r="O84" s="256"/>
    </row>
    <row r="85" spans="3:15" ht="15.75" customHeight="1">
      <c r="C85" s="87">
        <v>42396</v>
      </c>
      <c r="D85" s="31">
        <v>4820.3</v>
      </c>
      <c r="F85" s="167"/>
      <c r="G85" s="250"/>
      <c r="H85" s="250"/>
      <c r="I85" s="131"/>
      <c r="J85" s="257"/>
      <c r="K85" s="257"/>
      <c r="L85" s="257"/>
      <c r="M85" s="257"/>
      <c r="N85" s="256"/>
      <c r="O85" s="256"/>
    </row>
    <row r="86" spans="3:13" ht="15.75" customHeight="1">
      <c r="C86" s="87"/>
      <c r="F86" s="167"/>
      <c r="G86" s="252"/>
      <c r="H86" s="252"/>
      <c r="I86" s="139"/>
      <c r="J86" s="253"/>
      <c r="K86" s="253"/>
      <c r="L86" s="253"/>
      <c r="M86" s="253"/>
    </row>
    <row r="87" spans="2:13" ht="18.75" customHeight="1">
      <c r="B87" s="254" t="s">
        <v>57</v>
      </c>
      <c r="C87" s="255"/>
      <c r="D87" s="148">
        <v>300.92</v>
      </c>
      <c r="E87" s="74"/>
      <c r="F87" s="168"/>
      <c r="G87" s="250"/>
      <c r="H87" s="250"/>
      <c r="I87" s="141"/>
      <c r="J87" s="253"/>
      <c r="K87" s="253"/>
      <c r="L87" s="253"/>
      <c r="M87" s="253"/>
    </row>
    <row r="88" spans="6:12" ht="9.75" customHeight="1">
      <c r="F88" s="167"/>
      <c r="G88" s="250"/>
      <c r="H88" s="250"/>
      <c r="I88" s="73"/>
      <c r="J88" s="74"/>
      <c r="K88" s="74"/>
      <c r="L88" s="74"/>
    </row>
    <row r="89" spans="2:12" ht="22.5" customHeight="1" hidden="1">
      <c r="B89" s="248" t="s">
        <v>60</v>
      </c>
      <c r="C89" s="249"/>
      <c r="D89" s="86">
        <v>0</v>
      </c>
      <c r="E89" s="56" t="s">
        <v>24</v>
      </c>
      <c r="F89" s="167"/>
      <c r="G89" s="250"/>
      <c r="H89" s="25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50"/>
      <c r="O90" s="250"/>
    </row>
    <row r="91" spans="4:15" ht="15">
      <c r="D91" s="83"/>
      <c r="I91" s="31"/>
      <c r="N91" s="251"/>
      <c r="O91" s="251"/>
    </row>
    <row r="92" spans="14:15" ht="15">
      <c r="N92" s="250"/>
      <c r="O92" s="250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2016-07-06T07:25:39Z</cp:lastPrinted>
  <dcterms:created xsi:type="dcterms:W3CDTF">2003-07-28T11:27:56Z</dcterms:created>
  <dcterms:modified xsi:type="dcterms:W3CDTF">2016-07-06T07:27:39Z</dcterms:modified>
  <cp:category/>
  <cp:version/>
  <cp:contentType/>
  <cp:contentStatus/>
</cp:coreProperties>
</file>